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astaj\Desktop\bordel\"/>
    </mc:Choice>
  </mc:AlternateContent>
  <xr:revisionPtr revIDLastSave="0" documentId="13_ncr:1_{475DD413-6868-48C4-946D-25054830DFEA}" xr6:coauthVersionLast="45" xr6:coauthVersionMax="45" xr10:uidLastSave="{00000000-0000-0000-0000-000000000000}"/>
  <bookViews>
    <workbookView xWindow="-120" yWindow="-120" windowWidth="29040" windowHeight="15840" xr2:uid="{E7392B49-2914-4E4E-93FE-A28731C29BB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C39" i="1"/>
  <c r="AB41" i="1"/>
  <c r="AC41" i="1"/>
  <c r="AD41" i="1"/>
  <c r="M41" i="1"/>
  <c r="N41" i="1"/>
  <c r="O41" i="1"/>
  <c r="B76" i="1"/>
  <c r="C76" i="1"/>
  <c r="P41" i="1" l="1"/>
  <c r="M76" i="1"/>
  <c r="C73" i="1"/>
  <c r="B73" i="1"/>
  <c r="B68" i="1"/>
  <c r="C68" i="1"/>
  <c r="C65" i="1"/>
  <c r="B65" i="1"/>
  <c r="M53" i="1"/>
  <c r="N53" i="1"/>
  <c r="O53" i="1"/>
  <c r="M54" i="1"/>
  <c r="N54" i="1"/>
  <c r="O54" i="1"/>
  <c r="M55" i="1"/>
  <c r="N55" i="1"/>
  <c r="O55" i="1"/>
  <c r="M56" i="1"/>
  <c r="N56" i="1"/>
  <c r="O56" i="1"/>
  <c r="M57" i="1"/>
  <c r="N57" i="1"/>
  <c r="O57" i="1"/>
  <c r="M58" i="1"/>
  <c r="N58" i="1"/>
  <c r="O58" i="1"/>
  <c r="M59" i="1"/>
  <c r="N59" i="1"/>
  <c r="O59" i="1"/>
  <c r="M60" i="1"/>
  <c r="N60" i="1"/>
  <c r="O60" i="1"/>
  <c r="M61" i="1"/>
  <c r="N61" i="1"/>
  <c r="O61" i="1"/>
  <c r="M62" i="1"/>
  <c r="N62" i="1"/>
  <c r="O62" i="1"/>
  <c r="M63" i="1"/>
  <c r="N63" i="1"/>
  <c r="O63" i="1"/>
  <c r="M64" i="1"/>
  <c r="N64" i="1"/>
  <c r="O64" i="1"/>
  <c r="M65" i="1"/>
  <c r="N65" i="1"/>
  <c r="O65" i="1"/>
  <c r="C61" i="1"/>
  <c r="B61" i="1"/>
  <c r="C54" i="1"/>
  <c r="B54" i="1"/>
  <c r="R46" i="1"/>
  <c r="Q46" i="1"/>
  <c r="C46" i="1"/>
  <c r="B46" i="1"/>
  <c r="B51" i="1"/>
  <c r="C51" i="1"/>
  <c r="C58" i="1"/>
  <c r="B58" i="1"/>
  <c r="Q72" i="1"/>
  <c r="B72" i="1"/>
  <c r="R72" i="1"/>
  <c r="C72" i="1"/>
  <c r="C59" i="1"/>
  <c r="B59" i="1"/>
  <c r="C45" i="1"/>
  <c r="B45" i="1"/>
  <c r="B62" i="1"/>
  <c r="C62" i="1"/>
  <c r="M68" i="1"/>
  <c r="N68" i="1"/>
  <c r="O68" i="1"/>
  <c r="AB68" i="1"/>
  <c r="AC68" i="1"/>
  <c r="AD68" i="1"/>
  <c r="C52" i="1"/>
  <c r="B52" i="1"/>
  <c r="C44" i="1"/>
  <c r="B43" i="1"/>
  <c r="AB65" i="1"/>
  <c r="AC65" i="1"/>
  <c r="AD65" i="1"/>
  <c r="M66" i="1"/>
  <c r="N66" i="1"/>
  <c r="O66" i="1"/>
  <c r="AB66" i="1"/>
  <c r="AC66" i="1"/>
  <c r="AD66" i="1"/>
  <c r="M67" i="1"/>
  <c r="N67" i="1"/>
  <c r="O67" i="1"/>
  <c r="AB67" i="1"/>
  <c r="AC67" i="1"/>
  <c r="AD67" i="1"/>
  <c r="M69" i="1"/>
  <c r="N69" i="1"/>
  <c r="O69" i="1"/>
  <c r="AB69" i="1"/>
  <c r="AC69" i="1"/>
  <c r="AD69" i="1"/>
  <c r="M70" i="1"/>
  <c r="N70" i="1"/>
  <c r="O70" i="1"/>
  <c r="AB70" i="1"/>
  <c r="AC70" i="1"/>
  <c r="AD70" i="1"/>
  <c r="M71" i="1"/>
  <c r="N71" i="1"/>
  <c r="O71" i="1"/>
  <c r="AB71" i="1"/>
  <c r="AC71" i="1"/>
  <c r="AD71" i="1"/>
  <c r="M72" i="1"/>
  <c r="N72" i="1"/>
  <c r="O72" i="1"/>
  <c r="AB72" i="1"/>
  <c r="AC72" i="1"/>
  <c r="AD72" i="1"/>
  <c r="M73" i="1"/>
  <c r="N73" i="1"/>
  <c r="O73" i="1"/>
  <c r="AB73" i="1"/>
  <c r="AC73" i="1"/>
  <c r="AD73" i="1"/>
  <c r="M74" i="1"/>
  <c r="N74" i="1"/>
  <c r="O74" i="1"/>
  <c r="AB74" i="1"/>
  <c r="AC74" i="1"/>
  <c r="AD74" i="1"/>
  <c r="M75" i="1"/>
  <c r="N75" i="1"/>
  <c r="O75" i="1"/>
  <c r="AB75" i="1"/>
  <c r="AC75" i="1"/>
  <c r="AD75" i="1"/>
  <c r="N76" i="1"/>
  <c r="O76" i="1"/>
  <c r="AB76" i="1"/>
  <c r="AC76" i="1"/>
  <c r="AD76" i="1"/>
  <c r="AD64" i="1"/>
  <c r="AC64" i="1"/>
  <c r="AB64" i="1"/>
  <c r="AD63" i="1"/>
  <c r="AC63" i="1"/>
  <c r="AB63" i="1"/>
  <c r="AD62" i="1"/>
  <c r="AC62" i="1"/>
  <c r="AB62" i="1"/>
  <c r="AD61" i="1"/>
  <c r="AC61" i="1"/>
  <c r="AB61" i="1"/>
  <c r="AD60" i="1"/>
  <c r="AC60" i="1"/>
  <c r="AB60" i="1"/>
  <c r="AD59" i="1"/>
  <c r="AC59" i="1"/>
  <c r="AB59" i="1"/>
  <c r="AD58" i="1"/>
  <c r="AC58" i="1"/>
  <c r="AB58" i="1"/>
  <c r="AD57" i="1"/>
  <c r="AC57" i="1"/>
  <c r="AB57" i="1"/>
  <c r="AD56" i="1"/>
  <c r="AC56" i="1"/>
  <c r="AB56" i="1"/>
  <c r="AD55" i="1"/>
  <c r="AC55" i="1"/>
  <c r="AB55" i="1"/>
  <c r="AD54" i="1"/>
  <c r="AC54" i="1"/>
  <c r="AB54" i="1"/>
  <c r="AD53" i="1"/>
  <c r="AC53" i="1"/>
  <c r="AB53" i="1"/>
  <c r="AD52" i="1"/>
  <c r="AC52" i="1"/>
  <c r="AB52" i="1"/>
  <c r="O52" i="1"/>
  <c r="N52" i="1"/>
  <c r="M52" i="1"/>
  <c r="AD51" i="1"/>
  <c r="AC51" i="1"/>
  <c r="AB51" i="1"/>
  <c r="O51" i="1"/>
  <c r="N51" i="1"/>
  <c r="M51" i="1"/>
  <c r="AD50" i="1"/>
  <c r="AC50" i="1"/>
  <c r="AB50" i="1"/>
  <c r="O50" i="1"/>
  <c r="N50" i="1"/>
  <c r="M50" i="1"/>
  <c r="AD49" i="1"/>
  <c r="AC49" i="1"/>
  <c r="AB49" i="1"/>
  <c r="O49" i="1"/>
  <c r="N49" i="1"/>
  <c r="M49" i="1"/>
  <c r="AD48" i="1"/>
  <c r="AC48" i="1"/>
  <c r="AB48" i="1"/>
  <c r="O48" i="1"/>
  <c r="N48" i="1"/>
  <c r="M48" i="1"/>
  <c r="AD47" i="1"/>
  <c r="AC47" i="1"/>
  <c r="AB47" i="1"/>
  <c r="O47" i="1"/>
  <c r="N47" i="1"/>
  <c r="M47" i="1"/>
  <c r="AD46" i="1"/>
  <c r="AC46" i="1"/>
  <c r="AB46" i="1"/>
  <c r="O46" i="1"/>
  <c r="N46" i="1"/>
  <c r="M46" i="1"/>
  <c r="AD45" i="1"/>
  <c r="AC45" i="1"/>
  <c r="AB45" i="1"/>
  <c r="O45" i="1"/>
  <c r="N45" i="1"/>
  <c r="M45" i="1"/>
  <c r="AD44" i="1"/>
  <c r="AC44" i="1"/>
  <c r="AB44" i="1"/>
  <c r="O44" i="1"/>
  <c r="N44" i="1"/>
  <c r="M44" i="1"/>
  <c r="AD43" i="1"/>
  <c r="AC43" i="1"/>
  <c r="AB43" i="1"/>
  <c r="O43" i="1"/>
  <c r="N43" i="1"/>
  <c r="M43" i="1"/>
  <c r="AD42" i="1"/>
  <c r="AC42" i="1"/>
  <c r="AB42" i="1"/>
  <c r="O42" i="1"/>
  <c r="N42" i="1"/>
  <c r="M42" i="1"/>
  <c r="AD40" i="1"/>
  <c r="AC40" i="1"/>
  <c r="AB40" i="1"/>
  <c r="O40" i="1"/>
  <c r="N40" i="1"/>
  <c r="M40" i="1"/>
  <c r="AD39" i="1"/>
  <c r="AC39" i="1"/>
  <c r="AB39" i="1"/>
  <c r="O39" i="1"/>
  <c r="N39" i="1"/>
  <c r="M39" i="1"/>
  <c r="P53" i="1" l="1"/>
  <c r="P56" i="1"/>
  <c r="P57" i="1"/>
  <c r="P61" i="1"/>
  <c r="P69" i="1"/>
  <c r="P54" i="1"/>
  <c r="P52" i="1"/>
  <c r="P55" i="1"/>
  <c r="P63" i="1"/>
  <c r="P60" i="1"/>
  <c r="P59" i="1"/>
  <c r="P62" i="1"/>
  <c r="P51" i="1"/>
  <c r="P64" i="1"/>
  <c r="P68" i="1"/>
  <c r="P58" i="1"/>
  <c r="P48" i="1"/>
  <c r="P50" i="1"/>
  <c r="P49" i="1"/>
  <c r="P73" i="1"/>
  <c r="P70" i="1"/>
  <c r="P65" i="1"/>
  <c r="P72" i="1"/>
  <c r="P46" i="1"/>
  <c r="P76" i="1"/>
  <c r="P74" i="1"/>
  <c r="P67" i="1"/>
  <c r="P42" i="1"/>
  <c r="P71" i="1"/>
  <c r="P75" i="1"/>
  <c r="P66" i="1"/>
  <c r="P43" i="1"/>
  <c r="P40" i="1"/>
  <c r="P47" i="1"/>
  <c r="P39" i="1"/>
  <c r="P44" i="1"/>
  <c r="P45" i="1"/>
  <c r="P77" i="1" l="1"/>
  <c r="G13" i="1" l="1"/>
  <c r="F14" i="1" s="1"/>
  <c r="G14" i="1" s="1"/>
  <c r="F15" i="1" s="1"/>
  <c r="G15" i="1" s="1"/>
  <c r="F16" i="1" s="1"/>
  <c r="G16" i="1" s="1"/>
  <c r="E13" i="1"/>
  <c r="D14" i="1" s="1"/>
  <c r="E14" i="1" s="1"/>
  <c r="D15" i="1" s="1"/>
  <c r="G4" i="1"/>
  <c r="F5" i="1" s="1"/>
  <c r="G5" i="1" s="1"/>
  <c r="F6" i="1" s="1"/>
  <c r="G6" i="1" s="1"/>
  <c r="F7" i="1" s="1"/>
  <c r="G7" i="1" s="1"/>
  <c r="F8" i="1" s="1"/>
  <c r="G8" i="1" s="1"/>
  <c r="F9" i="1" s="1"/>
  <c r="G9" i="1" s="1"/>
  <c r="F10" i="1" s="1"/>
  <c r="G10" i="1" s="1"/>
  <c r="F11" i="1" s="1"/>
  <c r="G11" i="1" s="1"/>
  <c r="E4" i="1"/>
  <c r="D5" i="1" s="1"/>
  <c r="E5" i="1" s="1"/>
  <c r="E15" i="1" l="1"/>
  <c r="D16" i="1" s="1"/>
  <c r="E16" i="1" s="1"/>
  <c r="D6" i="1"/>
  <c r="E6" i="1" l="1"/>
  <c r="D7" i="1" s="1"/>
  <c r="E7" i="1" l="1"/>
  <c r="D8" i="1" s="1"/>
  <c r="E8" i="1" l="1"/>
  <c r="D9" i="1" s="1"/>
  <c r="E9" i="1" l="1"/>
  <c r="D10" i="1" s="1"/>
  <c r="E10" i="1" l="1"/>
  <c r="D11" i="1" s="1"/>
  <c r="E11" i="1" s="1"/>
</calcChain>
</file>

<file path=xl/sharedStrings.xml><?xml version="1.0" encoding="utf-8"?>
<sst xmlns="http://schemas.openxmlformats.org/spreadsheetml/2006/main" count="159" uniqueCount="49">
  <si>
    <t>Linka</t>
  </si>
  <si>
    <t>km tam</t>
  </si>
  <si>
    <t>km zpět</t>
  </si>
  <si>
    <t>RŠ</t>
  </si>
  <si>
    <t>sedlo</t>
  </si>
  <si>
    <t>OŠ</t>
  </si>
  <si>
    <t>večer</t>
  </si>
  <si>
    <t>SN</t>
  </si>
  <si>
    <t>Bilance Kč/rok</t>
  </si>
  <si>
    <t>Nový stav</t>
  </si>
  <si>
    <t>Původní stav</t>
  </si>
  <si>
    <t>voz.</t>
  </si>
  <si>
    <t>Kč/vozkm</t>
  </si>
  <si>
    <t>PD</t>
  </si>
  <si>
    <t>dní/rok</t>
  </si>
  <si>
    <t>PD*</t>
  </si>
  <si>
    <t>RŠ*</t>
  </si>
  <si>
    <t>sed.*</t>
  </si>
  <si>
    <t>OŠ*</t>
  </si>
  <si>
    <t>Spojů/den</t>
  </si>
  <si>
    <t>p.o.</t>
  </si>
  <si>
    <t>h/den</t>
  </si>
  <si>
    <t>tram</t>
  </si>
  <si>
    <t>bus</t>
  </si>
  <si>
    <t xml:space="preserve"> (p.o. = přechodové období)</t>
  </si>
  <si>
    <t>od</t>
  </si>
  <si>
    <t>do</t>
  </si>
  <si>
    <t>tj. tram</t>
  </si>
  <si>
    <t>tj. bus</t>
  </si>
  <si>
    <t>KB</t>
  </si>
  <si>
    <t>SD</t>
  </si>
  <si>
    <t>MD</t>
  </si>
  <si>
    <t>Mn</t>
  </si>
  <si>
    <t>110v</t>
  </si>
  <si>
    <t>v úseku OCČ - Třeboradice beze změny</t>
  </si>
  <si>
    <t>úsek Sídliště Čakovice - Třeboradice</t>
  </si>
  <si>
    <t>neuvažováno spojení Přezletice - Veleň</t>
  </si>
  <si>
    <t>soukromí dopravci</t>
  </si>
  <si>
    <t>KBs</t>
  </si>
  <si>
    <t>SDs</t>
  </si>
  <si>
    <t>MDs</t>
  </si>
  <si>
    <t>Mns</t>
  </si>
  <si>
    <t>km bez úseku Háje - KJM</t>
  </si>
  <si>
    <t>jen úsek Ládví - Bulovka</t>
  </si>
  <si>
    <t>jen úsek Letňany - Českomoravská</t>
  </si>
  <si>
    <t>jen úsek Tolstého - Michelangelova, úsek k Zentivě beze změny</t>
  </si>
  <si>
    <t>Rozsahy špiček</t>
  </si>
  <si>
    <t>Kč/vozkm  (jen variabilní náklady, odhad)</t>
  </si>
  <si>
    <t>DPP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</si>
</sst>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 applyFont="1"/>
    <xf numFmtId="164" fontId="0" fillId="0" borderId="0" xfId="0" applyNumberFormat="1" applyAlignment="1">
      <alignment horizontal="right"/>
    </xf>
    <xf numFmtId="1" fontId="0" fillId="0" borderId="0" xfId="0" applyNumberFormat="1"/>
    <xf numFmtId="0" fontId="0" fillId="0" borderId="0" xfId="0" applyNumberFormat="1"/>
    <xf numFmtId="0" fontId="1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0" fontId="0" fillId="0" borderId="0" xfId="0" applyAlignment="1">
      <alignment horizontal="center"/>
    </xf>
    <xf numFmtId="20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C1BDB-C15C-4A8B-8FBA-492DCEA4FAB0}">
  <dimension ref="A1:AF77"/>
  <sheetViews>
    <sheetView tabSelected="1" topLeftCell="A45" workbookViewId="0">
      <selection activeCell="P78" sqref="P78"/>
    </sheetView>
  </sheetViews>
  <sheetFormatPr defaultRowHeight="15" x14ac:dyDescent="0.25"/>
  <cols>
    <col min="1" max="1" width="6.28515625" customWidth="1"/>
    <col min="2" max="2" width="9.5703125" bestFit="1" customWidth="1"/>
    <col min="3" max="3" width="9.5703125" customWidth="1"/>
    <col min="4" max="15" width="5.85546875" customWidth="1"/>
    <col min="16" max="16" width="15.7109375" customWidth="1"/>
    <col min="17" max="18" width="9.5703125" customWidth="1"/>
    <col min="19" max="30" width="5.85546875" customWidth="1"/>
    <col min="31" max="31" width="2.7109375" customWidth="1"/>
  </cols>
  <sheetData>
    <row r="1" spans="1:7" x14ac:dyDescent="0.25">
      <c r="A1" s="4" t="s">
        <v>46</v>
      </c>
    </row>
    <row r="2" spans="1:7" x14ac:dyDescent="0.25">
      <c r="D2" s="16" t="s">
        <v>27</v>
      </c>
      <c r="E2" s="16"/>
      <c r="F2" s="16" t="s">
        <v>28</v>
      </c>
      <c r="G2" s="16"/>
    </row>
    <row r="3" spans="1:7" x14ac:dyDescent="0.25">
      <c r="A3" s="4" t="s">
        <v>21</v>
      </c>
      <c r="B3" s="1" t="s">
        <v>22</v>
      </c>
      <c r="C3" s="1" t="s">
        <v>23</v>
      </c>
      <c r="D3" s="12" t="s">
        <v>25</v>
      </c>
      <c r="E3" s="12" t="s">
        <v>26</v>
      </c>
      <c r="F3" s="12" t="s">
        <v>25</v>
      </c>
      <c r="G3" s="12" t="s">
        <v>26</v>
      </c>
    </row>
    <row r="4" spans="1:7" x14ac:dyDescent="0.25">
      <c r="A4" t="s">
        <v>20</v>
      </c>
      <c r="B4" s="5">
        <v>2</v>
      </c>
      <c r="C4">
        <v>2</v>
      </c>
      <c r="D4" s="13">
        <v>0.20833333333333334</v>
      </c>
      <c r="E4" s="13">
        <f>TIME(HOUR(D4)+ROUNDDOWN(B4,0),MINUTE(D4)+(B4-ROUNDDOWN(B4,0))*60,0)</f>
        <v>0.29166666666666669</v>
      </c>
      <c r="F4" s="13">
        <v>0.20833333333333334</v>
      </c>
      <c r="G4" s="13">
        <f>TIME(HOUR(F4)+ROUNDDOWN(C4,0),MINUTE(F4)+(C4-ROUNDDOWN(C4,0))*60,0)</f>
        <v>0.29166666666666669</v>
      </c>
    </row>
    <row r="5" spans="1:7" x14ac:dyDescent="0.25">
      <c r="A5" t="s">
        <v>3</v>
      </c>
      <c r="B5" s="8">
        <v>2</v>
      </c>
      <c r="C5" s="8">
        <v>1.5</v>
      </c>
      <c r="D5" s="13">
        <f>E4</f>
        <v>0.29166666666666669</v>
      </c>
      <c r="E5" s="13">
        <f t="shared" ref="E5:E11" si="0">TIME(HOUR(D5)+ROUNDDOWN(B5,0),MINUTE(D5)+(B5-ROUNDDOWN(B5,0))*60,0)</f>
        <v>0.375</v>
      </c>
      <c r="F5" s="13">
        <f>G4</f>
        <v>0.29166666666666669</v>
      </c>
      <c r="G5" s="13">
        <f t="shared" ref="G5:G11" si="1">TIME(HOUR(F5)+ROUNDDOWN(C5,0),MINUTE(F5)+(C5-ROUNDDOWN(C5,0))*60,0)</f>
        <v>0.35416666666666669</v>
      </c>
    </row>
    <row r="6" spans="1:7" x14ac:dyDescent="0.25">
      <c r="A6" t="s">
        <v>20</v>
      </c>
      <c r="B6" s="8">
        <v>1</v>
      </c>
      <c r="C6" s="8">
        <v>1</v>
      </c>
      <c r="D6" s="13">
        <f t="shared" ref="D6:D11" si="2">E5</f>
        <v>0.375</v>
      </c>
      <c r="E6" s="13">
        <f t="shared" si="0"/>
        <v>0.41666666666666669</v>
      </c>
      <c r="F6" s="13">
        <f t="shared" ref="F6:F11" si="3">G5</f>
        <v>0.35416666666666669</v>
      </c>
      <c r="G6" s="13">
        <f t="shared" si="1"/>
        <v>0.39583333333333331</v>
      </c>
    </row>
    <row r="7" spans="1:7" x14ac:dyDescent="0.25">
      <c r="A7" t="s">
        <v>4</v>
      </c>
      <c r="B7" s="8">
        <v>3</v>
      </c>
      <c r="C7" s="8">
        <v>4.5</v>
      </c>
      <c r="D7" s="13">
        <f t="shared" si="2"/>
        <v>0.41666666666666669</v>
      </c>
      <c r="E7" s="13">
        <f t="shared" si="0"/>
        <v>0.54166666666666663</v>
      </c>
      <c r="F7" s="13">
        <f t="shared" si="3"/>
        <v>0.39583333333333331</v>
      </c>
      <c r="G7" s="13">
        <f t="shared" si="1"/>
        <v>0.58333333333333337</v>
      </c>
    </row>
    <row r="8" spans="1:7" x14ac:dyDescent="0.25">
      <c r="A8" t="s">
        <v>20</v>
      </c>
      <c r="B8" s="8">
        <v>2.5</v>
      </c>
      <c r="C8" s="8">
        <v>2.5</v>
      </c>
      <c r="D8" s="13">
        <f t="shared" si="2"/>
        <v>0.54166666666666663</v>
      </c>
      <c r="E8" s="13">
        <f t="shared" si="0"/>
        <v>0.64583333333333337</v>
      </c>
      <c r="F8" s="13">
        <f t="shared" si="3"/>
        <v>0.58333333333333337</v>
      </c>
      <c r="G8" s="13">
        <f t="shared" si="1"/>
        <v>0.6875</v>
      </c>
    </row>
    <row r="9" spans="1:7" x14ac:dyDescent="0.25">
      <c r="A9" t="s">
        <v>5</v>
      </c>
      <c r="B9" s="8">
        <v>3</v>
      </c>
      <c r="C9" s="8">
        <v>1.75</v>
      </c>
      <c r="D9" s="13">
        <f t="shared" si="2"/>
        <v>0.64583333333333337</v>
      </c>
      <c r="E9" s="13">
        <f t="shared" si="0"/>
        <v>0.77083333333333337</v>
      </c>
      <c r="F9" s="13">
        <f t="shared" si="3"/>
        <v>0.6875</v>
      </c>
      <c r="G9" s="13">
        <f t="shared" si="1"/>
        <v>0.76041666666666663</v>
      </c>
    </row>
    <row r="10" spans="1:7" x14ac:dyDescent="0.25">
      <c r="A10" t="s">
        <v>20</v>
      </c>
      <c r="B10" s="8">
        <v>3</v>
      </c>
      <c r="C10" s="8">
        <v>3.25</v>
      </c>
      <c r="D10" s="13">
        <f t="shared" si="2"/>
        <v>0.77083333333333337</v>
      </c>
      <c r="E10" s="13">
        <f t="shared" si="0"/>
        <v>0.89583333333333337</v>
      </c>
      <c r="F10" s="13">
        <f t="shared" si="3"/>
        <v>0.76041666666666663</v>
      </c>
      <c r="G10" s="13">
        <f t="shared" si="1"/>
        <v>0.89583333333333337</v>
      </c>
    </row>
    <row r="11" spans="1:7" x14ac:dyDescent="0.25">
      <c r="A11" t="s">
        <v>6</v>
      </c>
      <c r="B11" s="8">
        <v>3</v>
      </c>
      <c r="C11" s="8">
        <v>3</v>
      </c>
      <c r="D11" s="13">
        <f t="shared" si="2"/>
        <v>0.89583333333333337</v>
      </c>
      <c r="E11" s="13">
        <f t="shared" si="0"/>
        <v>2.0833333333333259E-2</v>
      </c>
      <c r="F11" s="13">
        <f t="shared" si="3"/>
        <v>0.89583333333333337</v>
      </c>
      <c r="G11" s="13">
        <f t="shared" si="1"/>
        <v>2.0833333333333259E-2</v>
      </c>
    </row>
    <row r="12" spans="1:7" x14ac:dyDescent="0.25">
      <c r="B12" s="8"/>
      <c r="C12" s="8"/>
      <c r="D12" s="7"/>
    </row>
    <row r="13" spans="1:7" x14ac:dyDescent="0.25">
      <c r="A13" t="s">
        <v>20</v>
      </c>
      <c r="B13" s="8">
        <v>3.5</v>
      </c>
      <c r="C13" s="8">
        <v>3.5</v>
      </c>
      <c r="D13" s="13">
        <v>0.20833333333333334</v>
      </c>
      <c r="E13" s="13">
        <f>TIME(HOUR(D13)+ROUNDDOWN(B13,0),MINUTE(D13)+(B13-ROUNDDOWN(B13,0))*60,0)</f>
        <v>0.35416666666666669</v>
      </c>
      <c r="F13" s="13">
        <v>0.20833333333333334</v>
      </c>
      <c r="G13" s="13">
        <f>TIME(HOUR(F13)+ROUNDDOWN(C13,0),MINUTE(F13)+(C13-ROUNDDOWN(C13,0))*60,0)</f>
        <v>0.35416666666666669</v>
      </c>
    </row>
    <row r="14" spans="1:7" x14ac:dyDescent="0.25">
      <c r="A14" t="s">
        <v>7</v>
      </c>
      <c r="B14" s="8">
        <v>11</v>
      </c>
      <c r="C14" s="8">
        <v>11</v>
      </c>
      <c r="D14" s="13">
        <f>E13</f>
        <v>0.35416666666666669</v>
      </c>
      <c r="E14" s="13">
        <f t="shared" ref="E14:E16" si="4">TIME(HOUR(D14)+ROUNDDOWN(B14,0),MINUTE(D14)+(B14-ROUNDDOWN(B14,0))*60,0)</f>
        <v>0.8125</v>
      </c>
      <c r="F14" s="13">
        <f>G13</f>
        <v>0.35416666666666669</v>
      </c>
      <c r="G14" s="13">
        <f t="shared" ref="G14" si="5">TIME(HOUR(F14)+ROUNDDOWN(C14,0),MINUTE(F14)+(C14-ROUNDDOWN(C14,0))*60,0)</f>
        <v>0.8125</v>
      </c>
    </row>
    <row r="15" spans="1:7" x14ac:dyDescent="0.25">
      <c r="A15" t="s">
        <v>20</v>
      </c>
      <c r="B15" s="8">
        <v>2</v>
      </c>
      <c r="C15" s="8">
        <v>2</v>
      </c>
      <c r="D15" s="13">
        <f t="shared" ref="D15:D16" si="6">E14</f>
        <v>0.8125</v>
      </c>
      <c r="E15" s="13">
        <f t="shared" si="4"/>
        <v>0.89583333333333337</v>
      </c>
      <c r="F15" s="13">
        <f t="shared" ref="F15:F16" si="7">G14</f>
        <v>0.8125</v>
      </c>
      <c r="G15" s="13">
        <f t="shared" ref="G15:G16" si="8">TIME(HOUR(F15)+ROUNDDOWN(C15,0),MINUTE(F15)+(C15-ROUNDDOWN(C15,0))*60,0)</f>
        <v>0.89583333333333337</v>
      </c>
    </row>
    <row r="16" spans="1:7" x14ac:dyDescent="0.25">
      <c r="A16" t="s">
        <v>6</v>
      </c>
      <c r="B16" s="8">
        <v>3</v>
      </c>
      <c r="C16" s="8">
        <v>3</v>
      </c>
      <c r="D16" s="13">
        <f t="shared" si="6"/>
        <v>0.89583333333333337</v>
      </c>
      <c r="E16" s="13">
        <f t="shared" si="4"/>
        <v>2.0833333333333259E-2</v>
      </c>
      <c r="F16" s="13">
        <f t="shared" si="7"/>
        <v>0.89583333333333337</v>
      </c>
      <c r="G16" s="13">
        <f t="shared" si="8"/>
        <v>2.0833333333333259E-2</v>
      </c>
    </row>
    <row r="17" spans="1:4" x14ac:dyDescent="0.25">
      <c r="B17" s="8"/>
      <c r="C17" s="8"/>
      <c r="D17" s="7"/>
    </row>
    <row r="18" spans="1:4" x14ac:dyDescent="0.25">
      <c r="A18" s="7" t="s">
        <v>24</v>
      </c>
      <c r="B18" s="8"/>
      <c r="C18" s="8"/>
      <c r="D18" s="7"/>
    </row>
    <row r="19" spans="1:4" x14ac:dyDescent="0.25">
      <c r="B19" s="8"/>
      <c r="C19" s="8"/>
      <c r="D19" s="7"/>
    </row>
    <row r="20" spans="1:4" x14ac:dyDescent="0.25">
      <c r="A20" s="9" t="s">
        <v>14</v>
      </c>
      <c r="C20" s="8"/>
      <c r="D20" s="7"/>
    </row>
    <row r="21" spans="1:4" x14ac:dyDescent="0.25">
      <c r="A21" t="s">
        <v>13</v>
      </c>
      <c r="B21" s="8">
        <v>200</v>
      </c>
      <c r="C21" s="8"/>
      <c r="D21" s="7"/>
    </row>
    <row r="22" spans="1:4" x14ac:dyDescent="0.25">
      <c r="A22" t="s">
        <v>15</v>
      </c>
      <c r="B22" s="8">
        <v>50</v>
      </c>
      <c r="C22" s="8"/>
      <c r="D22" s="7"/>
    </row>
    <row r="23" spans="1:4" x14ac:dyDescent="0.25">
      <c r="A23" t="s">
        <v>7</v>
      </c>
      <c r="B23" s="8">
        <v>115</v>
      </c>
      <c r="C23" s="8"/>
      <c r="D23" s="7"/>
    </row>
    <row r="24" spans="1:4" x14ac:dyDescent="0.25">
      <c r="B24" s="8"/>
      <c r="C24" s="8"/>
      <c r="D24" s="7"/>
    </row>
    <row r="25" spans="1:4" x14ac:dyDescent="0.25">
      <c r="A25" s="4" t="s">
        <v>47</v>
      </c>
      <c r="C25" s="8"/>
      <c r="D25" s="7"/>
    </row>
    <row r="26" spans="1:4" x14ac:dyDescent="0.25">
      <c r="A26" s="5" t="s">
        <v>11</v>
      </c>
      <c r="B26" t="s">
        <v>12</v>
      </c>
      <c r="C26" s="8"/>
      <c r="D26" s="7"/>
    </row>
    <row r="27" spans="1:4" x14ac:dyDescent="0.25">
      <c r="A27" s="3" t="s">
        <v>29</v>
      </c>
      <c r="B27">
        <v>54</v>
      </c>
      <c r="C27" s="7" t="s">
        <v>48</v>
      </c>
    </row>
    <row r="28" spans="1:4" x14ac:dyDescent="0.25">
      <c r="A28" s="3" t="s">
        <v>30</v>
      </c>
      <c r="B28">
        <v>47</v>
      </c>
      <c r="C28" s="8"/>
      <c r="D28" s="7"/>
    </row>
    <row r="29" spans="1:4" x14ac:dyDescent="0.25">
      <c r="A29" s="3" t="s">
        <v>31</v>
      </c>
      <c r="B29">
        <v>38</v>
      </c>
      <c r="C29" s="8"/>
      <c r="D29" s="7"/>
    </row>
    <row r="30" spans="1:4" x14ac:dyDescent="0.25">
      <c r="A30" s="3" t="s">
        <v>32</v>
      </c>
      <c r="B30">
        <v>27</v>
      </c>
      <c r="C30" s="8"/>
      <c r="D30" s="7"/>
    </row>
    <row r="31" spans="1:4" x14ac:dyDescent="0.25">
      <c r="A31" s="3" t="s">
        <v>38</v>
      </c>
      <c r="B31">
        <v>35</v>
      </c>
      <c r="C31" s="7" t="s">
        <v>37</v>
      </c>
    </row>
    <row r="32" spans="1:4" x14ac:dyDescent="0.25">
      <c r="A32" s="3" t="s">
        <v>39</v>
      </c>
      <c r="B32">
        <v>30</v>
      </c>
      <c r="C32" s="8"/>
      <c r="D32" s="7"/>
    </row>
    <row r="33" spans="1:32" x14ac:dyDescent="0.25">
      <c r="A33" s="3" t="s">
        <v>40</v>
      </c>
      <c r="B33">
        <v>25</v>
      </c>
      <c r="C33" s="8"/>
      <c r="D33" s="7"/>
    </row>
    <row r="34" spans="1:32" x14ac:dyDescent="0.25">
      <c r="A34" s="3" t="s">
        <v>41</v>
      </c>
      <c r="B34">
        <v>20</v>
      </c>
      <c r="C34" s="8"/>
      <c r="D34" s="7"/>
    </row>
    <row r="36" spans="1:32" x14ac:dyDescent="0.25">
      <c r="P36" s="11"/>
    </row>
    <row r="37" spans="1:32" x14ac:dyDescent="0.25">
      <c r="B37" s="16" t="s">
        <v>9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 t="s">
        <v>19</v>
      </c>
      <c r="N37" s="16"/>
      <c r="O37" s="16"/>
      <c r="Q37" s="16" t="s">
        <v>10</v>
      </c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 t="s">
        <v>19</v>
      </c>
      <c r="AC37" s="16"/>
      <c r="AD37" s="16"/>
    </row>
    <row r="38" spans="1:32" x14ac:dyDescent="0.25">
      <c r="A38" s="2" t="s">
        <v>0</v>
      </c>
      <c r="B38" s="14" t="s">
        <v>1</v>
      </c>
      <c r="C38" s="14" t="s">
        <v>2</v>
      </c>
      <c r="D38" s="14" t="s">
        <v>11</v>
      </c>
      <c r="E38" s="14" t="s">
        <v>3</v>
      </c>
      <c r="F38" s="14" t="s">
        <v>4</v>
      </c>
      <c r="G38" s="14" t="s">
        <v>5</v>
      </c>
      <c r="H38" s="14" t="s">
        <v>6</v>
      </c>
      <c r="I38" s="14" t="s">
        <v>7</v>
      </c>
      <c r="J38" s="14" t="s">
        <v>16</v>
      </c>
      <c r="K38" s="14" t="s">
        <v>17</v>
      </c>
      <c r="L38" s="14" t="s">
        <v>18</v>
      </c>
      <c r="M38" s="14" t="s">
        <v>13</v>
      </c>
      <c r="N38" s="14" t="s">
        <v>15</v>
      </c>
      <c r="O38" s="14" t="s">
        <v>7</v>
      </c>
      <c r="P38" s="2" t="s">
        <v>8</v>
      </c>
      <c r="Q38" s="14" t="s">
        <v>1</v>
      </c>
      <c r="R38" s="14" t="s">
        <v>2</v>
      </c>
      <c r="S38" s="14" t="s">
        <v>11</v>
      </c>
      <c r="T38" s="14" t="s">
        <v>3</v>
      </c>
      <c r="U38" s="14" t="s">
        <v>4</v>
      </c>
      <c r="V38" s="14" t="s">
        <v>5</v>
      </c>
      <c r="W38" s="14" t="s">
        <v>6</v>
      </c>
      <c r="X38" s="14" t="s">
        <v>7</v>
      </c>
      <c r="Y38" s="14" t="s">
        <v>16</v>
      </c>
      <c r="Z38" s="14" t="s">
        <v>17</v>
      </c>
      <c r="AA38" s="14" t="s">
        <v>18</v>
      </c>
      <c r="AB38" s="14" t="s">
        <v>13</v>
      </c>
      <c r="AC38" s="14" t="s">
        <v>15</v>
      </c>
      <c r="AD38" s="14" t="s">
        <v>7</v>
      </c>
    </row>
    <row r="39" spans="1:32" x14ac:dyDescent="0.25">
      <c r="A39" s="3">
        <v>101</v>
      </c>
      <c r="B39" s="6">
        <f>9.65+2</f>
        <v>11.65</v>
      </c>
      <c r="C39" s="6">
        <f>8.8+1.8</f>
        <v>10.600000000000001</v>
      </c>
      <c r="D39" s="14" t="s">
        <v>31</v>
      </c>
      <c r="E39" s="14">
        <v>20</v>
      </c>
      <c r="F39" s="14">
        <v>30</v>
      </c>
      <c r="G39" s="14">
        <v>20</v>
      </c>
      <c r="H39" s="14">
        <v>30</v>
      </c>
      <c r="I39" s="14">
        <v>30</v>
      </c>
      <c r="J39" s="14">
        <v>30</v>
      </c>
      <c r="K39" s="14">
        <v>30</v>
      </c>
      <c r="L39" s="14">
        <v>30</v>
      </c>
      <c r="M39" s="14">
        <f>IF(COUNT(E39:H39)=0,0,ROUND($C$4*(IF(ISBLANK(E39),0,60/E39))/2+$C$5*IF(ISBLANK(E39),0,60/E39)+$C$6*(IF(ISBLANK(E39),0,60/E39)+IF(ISBLANK(F39),0,60/F39))/2+$C$7*IF(ISBLANK(F39),0,60/F39)+$C$8*(IF(ISBLANK(F39),0,60/F39)+IF(ISBLANK(G39),0,60/G39))/2+$C$9*IF(ISBLANK(G39),0,60/G39)+$C$10*(IF(ISBLANK(G39),0,60/G39)+IF(ISBLANK(H39),0,60/H39))/2+$C$11*IF(ISBLANK(H39),0,60/H39),0))</f>
        <v>45</v>
      </c>
      <c r="N39" s="14">
        <f>IF(AND(ISBLANK(H39),COUNT(J39:L39)=0),0,ROUND($C$4*(IF(ISBLANK(J39),0,60/J39))/2+$C$5*IF(ISBLANK(J39),0,60/J39)+$C$6*(IF(ISBLANK(J39),0,60/J39)+IF(ISBLANK(K39),0,60/K39))/2+$C$7*IF(ISBLANK(K39),0,60/K39)+$C$8*(IF(ISBLANK(K39),0,60/K39)+IF(ISBLANK(L39),0,60/L39))/2+$C$9*IF(ISBLANK(L39),0,60/L39)+$C$10*(IF(ISBLANK(L39),0,60/L39)+IF(ISBLANK(H39),0,60/H39))/2+$C$11*IF(ISBLANK(H39),0,60/H39),0))</f>
        <v>37</v>
      </c>
      <c r="O39" s="14">
        <f>IF(COUNT(H39:I39)=0,0,ROUND($C$13*(60/IF(ISBLANK(I39),1440,I39))/2+$C$14*60/IF(ISBLANK(I39),1440,I39)+$C$15*(60/IF(ISBLANK(I39),1440,I39)+60/IF(ISBLANK(H39),1440,H39))/2+$C$16*60/IF(ISBLANK(H39),1440,H39),0))</f>
        <v>36</v>
      </c>
      <c r="P39" s="10">
        <f t="shared" ref="P39:P76" si="9">VLOOKUP(D39,$A$27:$B$34,2,FALSE)*(B39+C39)*($B$21*M39+$B$22*N39+$B$23*O39)-VLOOKUP(S39,$A$27:$B$34,2,FALSE)*(Q39+R39)*($B$21*AB39+$B$22*AC39+$B$23*AD39)</f>
        <v>2164555.9999999981</v>
      </c>
      <c r="Q39" s="6">
        <v>9.65</v>
      </c>
      <c r="R39" s="6">
        <v>8.8000000000000007</v>
      </c>
      <c r="S39" s="14" t="s">
        <v>31</v>
      </c>
      <c r="T39" s="14">
        <v>20</v>
      </c>
      <c r="U39" s="14">
        <v>30</v>
      </c>
      <c r="V39" s="14">
        <v>20</v>
      </c>
      <c r="W39" s="14">
        <v>30</v>
      </c>
      <c r="X39" s="14">
        <v>30</v>
      </c>
      <c r="Y39" s="14">
        <v>30</v>
      </c>
      <c r="Z39" s="14">
        <v>30</v>
      </c>
      <c r="AA39" s="14">
        <v>30</v>
      </c>
      <c r="AB39" s="14">
        <f>IF(COUNT(T39:W39)=0,0,ROUND($C$4*(IF(ISBLANK(T39),0,60/T39))/2+$C$5*IF(ISBLANK(T39),0,60/T39)+$C$6*(IF(ISBLANK(T39),0,60/T39)+IF(ISBLANK(U39),0,60/U39))/2+$C$7*IF(ISBLANK(U39),0,60/U39)+$C$8*(IF(ISBLANK(U39),0,60/U39)+IF(ISBLANK(V39),0,60/V39))/2+$C$9*IF(ISBLANK(V39),0,60/V39)+$C$10*(IF(ISBLANK(V39),0,60/V39)+IF(ISBLANK(W39),0,60/W39))/2+$C$11*IF(ISBLANK(W39),0,60/W39),0))</f>
        <v>45</v>
      </c>
      <c r="AC39" s="14">
        <f>IF(AND(ISBLANK(W39),COUNT(Y39:AA39)=0),0,ROUND($C$4*(IF(ISBLANK(Y39),0,60/Y39))/2+$C$5*IF(ISBLANK(Y39),0,60/Y39)+$C$6*(IF(ISBLANK(Y39),0,60/Y39)+IF(ISBLANK(Z39),0,60/Z39))/2+$C$7*IF(ISBLANK(Z39),0,60/Z39)+$C$8*(IF(ISBLANK(Z39),0,60/Z39)+IF(ISBLANK(AA39),0,60/AA39))/2+$C$9*IF(ISBLANK(AA39),0,60/AA39)+$C$10*(IF(ISBLANK(AA39),0,60/AA39)+IF(ISBLANK(W39),0,60/W39))/2+$C$11*IF(ISBLANK(W39),0,60/W39),0))</f>
        <v>37</v>
      </c>
      <c r="AD39" s="14">
        <f>IF(COUNT(W39:X39)=0,0,ROUND($C$13*(60/IF(ISBLANK(X39),1440,X39))/2+$C$14*60/IF(ISBLANK(X39),1440,X39)+$C$15*(60/IF(ISBLANK(X39),1440,X39)+60/IF(ISBLANK(W39),1440,W39))/2+$C$16*60/IF(ISBLANK(W39),1440,W39),0))</f>
        <v>36</v>
      </c>
      <c r="AF39" t="s">
        <v>45</v>
      </c>
    </row>
    <row r="40" spans="1:32" x14ac:dyDescent="0.25">
      <c r="A40" s="3">
        <v>102</v>
      </c>
      <c r="B40" s="6">
        <v>4.25</v>
      </c>
      <c r="C40" s="6">
        <v>4.25</v>
      </c>
      <c r="D40" s="15" t="s">
        <v>29</v>
      </c>
      <c r="E40" s="15">
        <v>6</v>
      </c>
      <c r="F40" s="15">
        <v>15</v>
      </c>
      <c r="G40" s="15">
        <v>7.5</v>
      </c>
      <c r="H40" s="15">
        <v>20</v>
      </c>
      <c r="I40" s="15">
        <v>15</v>
      </c>
      <c r="J40" s="15">
        <v>7.5</v>
      </c>
      <c r="K40" s="15">
        <v>15</v>
      </c>
      <c r="L40" s="15">
        <v>10</v>
      </c>
      <c r="M40" s="14">
        <f t="shared" ref="M40:M52" si="10">IF(COUNT(E40:H40)=0,0,ROUND($C$4*(IF(ISBLANK(E40),0,60/E40))/2+$C$5*IF(ISBLANK(E40),0,60/E40)+$C$6*(IF(ISBLANK(E40),0,60/E40)+IF(ISBLANK(F40),0,60/F40))/2+$C$7*IF(ISBLANK(F40),0,60/F40)+$C$8*(IF(ISBLANK(F40),0,60/F40)+IF(ISBLANK(G40),0,60/G40))/2+$C$9*IF(ISBLANK(G40),0,60/G40)+$C$10*(IF(ISBLANK(G40),0,60/G40)+IF(ISBLANK(H40),0,60/H40))/2+$C$11*IF(ISBLANK(H40),0,60/H40),0))</f>
        <v>106</v>
      </c>
      <c r="N40" s="14">
        <f t="shared" ref="N40:N52" si="11">IF(AND(ISBLANK(H40),COUNT(J40:L40)=0),0,ROUND($C$4*(IF(ISBLANK(J40),0,60/J40))/2+$C$5*IF(ISBLANK(J40),0,60/J40)+$C$6*(IF(ISBLANK(J40),0,60/J40)+IF(ISBLANK(K40),0,60/K40))/2+$C$7*IF(ISBLANK(K40),0,60/K40)+$C$8*(IF(ISBLANK(K40),0,60/K40)+IF(ISBLANK(L40),0,60/L40))/2+$C$9*IF(ISBLANK(L40),0,60/L40)+$C$10*(IF(ISBLANK(L40),0,60/L40)+IF(ISBLANK(H40),0,60/H40))/2+$C$11*IF(ISBLANK(H40),0,60/H40),0))</f>
        <v>91</v>
      </c>
      <c r="O40" s="14">
        <f t="shared" ref="O40:O52" si="12">IF(COUNT(H40:I40)=0,0,ROUND($C$13*(60/IF(ISBLANK(I40),1440,I40))/2+$C$14*60/IF(ISBLANK(I40),1440,I40)+$C$15*(60/IF(ISBLANK(I40),1440,I40)+60/IF(ISBLANK(H40),1440,H40))/2+$C$16*60/IF(ISBLANK(H40),1440,H40),0))</f>
        <v>67</v>
      </c>
      <c r="P40" s="10">
        <f t="shared" si="9"/>
        <v>9698925</v>
      </c>
      <c r="Q40" s="6">
        <v>4.25</v>
      </c>
      <c r="R40" s="6">
        <v>4.25</v>
      </c>
      <c r="S40" s="15" t="s">
        <v>30</v>
      </c>
      <c r="T40" s="15">
        <v>12</v>
      </c>
      <c r="U40" s="15"/>
      <c r="V40" s="15">
        <v>15</v>
      </c>
      <c r="W40" s="15">
        <v>40</v>
      </c>
      <c r="X40" s="15">
        <v>30</v>
      </c>
      <c r="Y40" s="15">
        <v>15</v>
      </c>
      <c r="Z40" s="15">
        <v>30</v>
      </c>
      <c r="AA40" s="15">
        <v>20</v>
      </c>
      <c r="AB40" s="14">
        <f t="shared" ref="AB40:AB61" si="13">IF(COUNT(T40:W40)=0,0,ROUND($C$4*(IF(ISBLANK(T40),0,60/T40))/2+$C$5*IF(ISBLANK(T40),0,60/T40)+$C$6*(IF(ISBLANK(T40),0,60/T40)+IF(ISBLANK(U40),0,60/U40))/2+$C$7*IF(ISBLANK(U40),0,60/U40)+$C$8*(IF(ISBLANK(U40),0,60/U40)+IF(ISBLANK(V40),0,60/V40))/2+$C$9*IF(ISBLANK(V40),0,60/V40)+$C$10*(IF(ISBLANK(V40),0,60/V40)+IF(ISBLANK(W40),0,60/W40))/2+$C$11*IF(ISBLANK(W40),0,60/W40),0))</f>
        <v>40</v>
      </c>
      <c r="AC40" s="14">
        <f t="shared" ref="AC40:AC61" si="14">IF(AND(ISBLANK(W40),COUNT(Y40:AA40)=0),0,ROUND($C$4*(IF(ISBLANK(Y40),0,60/Y40))/2+$C$5*IF(ISBLANK(Y40),0,60/Y40)+$C$6*(IF(ISBLANK(Y40),0,60/Y40)+IF(ISBLANK(Z40),0,60/Z40))/2+$C$7*IF(ISBLANK(Z40),0,60/Z40)+$C$8*(IF(ISBLANK(Z40),0,60/Z40)+IF(ISBLANK(AA40),0,60/AA40))/2+$C$9*IF(ISBLANK(AA40),0,60/AA40)+$C$10*(IF(ISBLANK(AA40),0,60/AA40)+IF(ISBLANK(W40),0,60/W40))/2+$C$11*IF(ISBLANK(W40),0,60/W40),0))</f>
        <v>45</v>
      </c>
      <c r="AD40" s="14">
        <f t="shared" ref="AD40:AD61" si="15">IF(COUNT(W40:X40)=0,0,ROUND($C$13*(60/IF(ISBLANK(X40),1440,X40))/2+$C$14*60/IF(ISBLANK(X40),1440,X40)+$C$15*(60/IF(ISBLANK(X40),1440,X40)+60/IF(ISBLANK(W40),1440,W40))/2+$C$16*60/IF(ISBLANK(W40),1440,W40),0))</f>
        <v>34</v>
      </c>
    </row>
    <row r="41" spans="1:32" x14ac:dyDescent="0.25">
      <c r="A41" s="3">
        <v>102</v>
      </c>
      <c r="B41" s="6"/>
      <c r="C41" s="6"/>
      <c r="D41" s="15" t="s">
        <v>30</v>
      </c>
      <c r="E41" s="15"/>
      <c r="F41" s="15"/>
      <c r="G41" s="15"/>
      <c r="H41" s="15"/>
      <c r="I41" s="15"/>
      <c r="J41" s="15"/>
      <c r="K41" s="15"/>
      <c r="L41" s="15"/>
      <c r="M41" s="15">
        <f t="shared" ref="M41" si="16">IF(COUNT(E41:H41)=0,0,ROUND($C$4*(IF(ISBLANK(E41),0,60/E41))/2+$C$5*IF(ISBLANK(E41),0,60/E41)+$C$6*(IF(ISBLANK(E41),0,60/E41)+IF(ISBLANK(F41),0,60/F41))/2+$C$7*IF(ISBLANK(F41),0,60/F41)+$C$8*(IF(ISBLANK(F41),0,60/F41)+IF(ISBLANK(G41),0,60/G41))/2+$C$9*IF(ISBLANK(G41),0,60/G41)+$C$10*(IF(ISBLANK(G41),0,60/G41)+IF(ISBLANK(H41),0,60/H41))/2+$C$11*IF(ISBLANK(H41),0,60/H41),0))</f>
        <v>0</v>
      </c>
      <c r="N41" s="15">
        <f t="shared" ref="N41" si="17">IF(AND(ISBLANK(H41),COUNT(J41:L41)=0),0,ROUND($C$4*(IF(ISBLANK(J41),0,60/J41))/2+$C$5*IF(ISBLANK(J41),0,60/J41)+$C$6*(IF(ISBLANK(J41),0,60/J41)+IF(ISBLANK(K41),0,60/K41))/2+$C$7*IF(ISBLANK(K41),0,60/K41)+$C$8*(IF(ISBLANK(K41),0,60/K41)+IF(ISBLANK(L41),0,60/L41))/2+$C$9*IF(ISBLANK(L41),0,60/L41)+$C$10*(IF(ISBLANK(L41),0,60/L41)+IF(ISBLANK(H41),0,60/H41))/2+$C$11*IF(ISBLANK(H41),0,60/H41),0))</f>
        <v>0</v>
      </c>
      <c r="O41" s="15">
        <f t="shared" ref="O41" si="18">IF(COUNT(H41:I41)=0,0,ROUND($C$13*(60/IF(ISBLANK(I41),1440,I41))/2+$C$14*60/IF(ISBLANK(I41),1440,I41)+$C$15*(60/IF(ISBLANK(I41),1440,I41)+60/IF(ISBLANK(H41),1440,H41))/2+$C$16*60/IF(ISBLANK(H41),1440,H41),0))</f>
        <v>0</v>
      </c>
      <c r="P41" s="10">
        <f t="shared" si="9"/>
        <v>-11031370</v>
      </c>
      <c r="Q41" s="6">
        <v>6.25</v>
      </c>
      <c r="R41" s="6">
        <v>6</v>
      </c>
      <c r="S41" s="15" t="s">
        <v>30</v>
      </c>
      <c r="T41" s="15">
        <v>12</v>
      </c>
      <c r="U41" s="15">
        <v>15</v>
      </c>
      <c r="V41" s="15">
        <v>15</v>
      </c>
      <c r="W41" s="15">
        <v>40</v>
      </c>
      <c r="X41" s="15">
        <v>30</v>
      </c>
      <c r="Y41" s="15">
        <v>15</v>
      </c>
      <c r="Z41" s="15">
        <v>30</v>
      </c>
      <c r="AA41" s="15">
        <v>20</v>
      </c>
      <c r="AB41" s="15">
        <f t="shared" ref="AB41" si="19">IF(COUNT(T41:W41)=0,0,ROUND($C$4*(IF(ISBLANK(T41),0,60/T41))/2+$C$5*IF(ISBLANK(T41),0,60/T41)+$C$6*(IF(ISBLANK(T41),0,60/T41)+IF(ISBLANK(U41),0,60/U41))/2+$C$7*IF(ISBLANK(U41),0,60/U41)+$C$8*(IF(ISBLANK(U41),0,60/U41)+IF(ISBLANK(V41),0,60/V41))/2+$C$9*IF(ISBLANK(V41),0,60/V41)+$C$10*(IF(ISBLANK(V41),0,60/V41)+IF(ISBLANK(W41),0,60/W41))/2+$C$11*IF(ISBLANK(W41),0,60/W41),0))</f>
        <v>65</v>
      </c>
      <c r="AC41" s="15">
        <f t="shared" ref="AC41" si="20">IF(AND(ISBLANK(W41),COUNT(Y41:AA41)=0),0,ROUND($C$4*(IF(ISBLANK(Y41),0,60/Y41))/2+$C$5*IF(ISBLANK(Y41),0,60/Y41)+$C$6*(IF(ISBLANK(Y41),0,60/Y41)+IF(ISBLANK(Z41),0,60/Z41))/2+$C$7*IF(ISBLANK(Z41),0,60/Z41)+$C$8*(IF(ISBLANK(Z41),0,60/Z41)+IF(ISBLANK(AA41),0,60/AA41))/2+$C$9*IF(ISBLANK(AA41),0,60/AA41)+$C$10*(IF(ISBLANK(AA41),0,60/AA41)+IF(ISBLANK(W41),0,60/W41))/2+$C$11*IF(ISBLANK(W41),0,60/W41),0))</f>
        <v>45</v>
      </c>
      <c r="AD41" s="15">
        <f t="shared" ref="AD41" si="21">IF(COUNT(W41:X41)=0,0,ROUND($C$13*(60/IF(ISBLANK(X41),1440,X41))/2+$C$14*60/IF(ISBLANK(X41),1440,X41)+$C$15*(60/IF(ISBLANK(X41),1440,X41)+60/IF(ISBLANK(W41),1440,W41))/2+$C$16*60/IF(ISBLANK(W41),1440,W41),0))</f>
        <v>34</v>
      </c>
    </row>
    <row r="42" spans="1:32" x14ac:dyDescent="0.25">
      <c r="A42" s="3">
        <v>110</v>
      </c>
      <c r="B42" s="6">
        <v>14.4</v>
      </c>
      <c r="C42" s="6">
        <v>14.59</v>
      </c>
      <c r="D42" s="14" t="s">
        <v>39</v>
      </c>
      <c r="E42" s="14">
        <v>12</v>
      </c>
      <c r="F42" s="14">
        <v>30</v>
      </c>
      <c r="G42" s="14">
        <v>15</v>
      </c>
      <c r="H42" s="14">
        <v>30</v>
      </c>
      <c r="I42" s="14">
        <v>30</v>
      </c>
      <c r="J42" s="14">
        <v>15</v>
      </c>
      <c r="K42" s="14">
        <v>30</v>
      </c>
      <c r="L42" s="14">
        <v>20</v>
      </c>
      <c r="M42" s="14">
        <f t="shared" si="10"/>
        <v>55</v>
      </c>
      <c r="N42" s="14">
        <f t="shared" si="11"/>
        <v>48</v>
      </c>
      <c r="O42" s="14">
        <f t="shared" si="12"/>
        <v>36</v>
      </c>
      <c r="P42" s="10">
        <f t="shared" si="9"/>
        <v>578820</v>
      </c>
      <c r="Q42" s="6">
        <v>13.8</v>
      </c>
      <c r="R42" s="6">
        <v>14.09</v>
      </c>
      <c r="S42" s="14" t="s">
        <v>39</v>
      </c>
      <c r="T42" s="14">
        <v>12</v>
      </c>
      <c r="U42" s="14">
        <v>30</v>
      </c>
      <c r="V42" s="14">
        <v>15</v>
      </c>
      <c r="W42" s="14">
        <v>30</v>
      </c>
      <c r="X42" s="14">
        <v>30</v>
      </c>
      <c r="Y42" s="14">
        <v>15</v>
      </c>
      <c r="Z42" s="14">
        <v>30</v>
      </c>
      <c r="AA42" s="14">
        <v>20</v>
      </c>
      <c r="AB42" s="14">
        <f t="shared" si="13"/>
        <v>55</v>
      </c>
      <c r="AC42" s="14">
        <f t="shared" si="14"/>
        <v>48</v>
      </c>
      <c r="AD42" s="14">
        <f t="shared" si="15"/>
        <v>36</v>
      </c>
      <c r="AF42" t="s">
        <v>34</v>
      </c>
    </row>
    <row r="43" spans="1:32" x14ac:dyDescent="0.25">
      <c r="A43" s="3" t="s">
        <v>33</v>
      </c>
      <c r="B43" s="6">
        <f>2.35+2.95</f>
        <v>5.3000000000000007</v>
      </c>
      <c r="C43" s="6"/>
      <c r="D43" s="14" t="s">
        <v>39</v>
      </c>
      <c r="E43" s="14">
        <v>12</v>
      </c>
      <c r="F43" s="14"/>
      <c r="G43" s="14"/>
      <c r="H43" s="14"/>
      <c r="I43" s="14"/>
      <c r="J43" s="14">
        <v>15</v>
      </c>
      <c r="K43" s="14"/>
      <c r="L43" s="14"/>
      <c r="M43" s="14">
        <f t="shared" si="10"/>
        <v>15</v>
      </c>
      <c r="N43" s="14">
        <f t="shared" si="11"/>
        <v>12</v>
      </c>
      <c r="O43" s="14">
        <f t="shared" si="12"/>
        <v>0</v>
      </c>
      <c r="P43" s="10">
        <f t="shared" si="9"/>
        <v>572400.00000000012</v>
      </c>
      <c r="Q43" s="6"/>
      <c r="R43" s="6"/>
      <c r="S43" s="14" t="s">
        <v>39</v>
      </c>
      <c r="T43" s="14"/>
      <c r="U43" s="14"/>
      <c r="V43" s="14"/>
      <c r="W43" s="14"/>
      <c r="X43" s="14"/>
      <c r="Y43" s="14"/>
      <c r="Z43" s="14"/>
      <c r="AA43" s="14"/>
      <c r="AB43" s="14">
        <f t="shared" si="13"/>
        <v>0</v>
      </c>
      <c r="AC43" s="14">
        <f t="shared" si="14"/>
        <v>0</v>
      </c>
      <c r="AD43" s="14">
        <f t="shared" si="15"/>
        <v>0</v>
      </c>
    </row>
    <row r="44" spans="1:32" x14ac:dyDescent="0.25">
      <c r="A44" s="3" t="s">
        <v>33</v>
      </c>
      <c r="B44" s="6"/>
      <c r="C44" s="6">
        <f>2.95+2.3</f>
        <v>5.25</v>
      </c>
      <c r="D44" s="14" t="s">
        <v>39</v>
      </c>
      <c r="E44" s="14"/>
      <c r="F44" s="14"/>
      <c r="G44" s="14">
        <v>15</v>
      </c>
      <c r="H44" s="14"/>
      <c r="I44" s="14"/>
      <c r="J44" s="14"/>
      <c r="K44" s="14"/>
      <c r="L44" s="14">
        <v>20</v>
      </c>
      <c r="M44" s="14">
        <f t="shared" si="10"/>
        <v>19</v>
      </c>
      <c r="N44" s="14">
        <f t="shared" si="11"/>
        <v>14</v>
      </c>
      <c r="O44" s="14">
        <f t="shared" si="12"/>
        <v>0</v>
      </c>
      <c r="P44" s="10">
        <f t="shared" si="9"/>
        <v>708750</v>
      </c>
      <c r="Q44" s="6"/>
      <c r="R44" s="6"/>
      <c r="S44" s="14" t="s">
        <v>39</v>
      </c>
      <c r="T44" s="14"/>
      <c r="U44" s="14"/>
      <c r="V44" s="14"/>
      <c r="W44" s="14"/>
      <c r="X44" s="14"/>
      <c r="Y44" s="14"/>
      <c r="Z44" s="14"/>
      <c r="AA44" s="14"/>
      <c r="AB44" s="14">
        <f t="shared" si="13"/>
        <v>0</v>
      </c>
      <c r="AC44" s="14">
        <f t="shared" si="14"/>
        <v>0</v>
      </c>
      <c r="AD44" s="14">
        <f t="shared" si="15"/>
        <v>0</v>
      </c>
    </row>
    <row r="45" spans="1:32" x14ac:dyDescent="0.25">
      <c r="A45" s="3">
        <v>136</v>
      </c>
      <c r="B45" s="6">
        <f>5.8+8.75+0.4</f>
        <v>14.950000000000001</v>
      </c>
      <c r="C45" s="6">
        <f>0.35+8.3+6.1</f>
        <v>14.75</v>
      </c>
      <c r="D45" s="14" t="s">
        <v>29</v>
      </c>
      <c r="E45" s="14">
        <v>6</v>
      </c>
      <c r="F45" s="14">
        <v>15</v>
      </c>
      <c r="G45" s="14">
        <v>7.5</v>
      </c>
      <c r="H45" s="14">
        <v>20</v>
      </c>
      <c r="I45" s="14">
        <v>15</v>
      </c>
      <c r="J45" s="14">
        <v>7.5</v>
      </c>
      <c r="K45" s="14">
        <v>15</v>
      </c>
      <c r="L45" s="14">
        <v>10</v>
      </c>
      <c r="M45" s="14">
        <f t="shared" si="10"/>
        <v>106</v>
      </c>
      <c r="N45" s="14">
        <f t="shared" si="11"/>
        <v>91</v>
      </c>
      <c r="O45" s="14">
        <f t="shared" si="12"/>
        <v>67</v>
      </c>
      <c r="P45" s="10">
        <f t="shared" si="9"/>
        <v>-60259112.999999993</v>
      </c>
      <c r="Q45" s="6">
        <v>26.3</v>
      </c>
      <c r="R45" s="6">
        <v>26.3</v>
      </c>
      <c r="S45" s="14" t="s">
        <v>29</v>
      </c>
      <c r="T45" s="14">
        <v>5</v>
      </c>
      <c r="U45" s="14">
        <v>10</v>
      </c>
      <c r="V45" s="14">
        <v>6</v>
      </c>
      <c r="W45" s="14">
        <v>20</v>
      </c>
      <c r="X45" s="14">
        <v>15</v>
      </c>
      <c r="Y45" s="14">
        <v>6</v>
      </c>
      <c r="Z45" s="14">
        <v>12</v>
      </c>
      <c r="AA45" s="14">
        <v>7.5</v>
      </c>
      <c r="AB45" s="14">
        <f t="shared" si="13"/>
        <v>134</v>
      </c>
      <c r="AC45" s="14">
        <f t="shared" si="14"/>
        <v>112</v>
      </c>
      <c r="AD45" s="14">
        <f t="shared" si="15"/>
        <v>67</v>
      </c>
    </row>
    <row r="46" spans="1:32" x14ac:dyDescent="0.25">
      <c r="A46" s="3">
        <v>140</v>
      </c>
      <c r="B46" s="6">
        <f>4.7+5.75</f>
        <v>10.45</v>
      </c>
      <c r="C46" s="6">
        <f>5.7+4.7</f>
        <v>10.4</v>
      </c>
      <c r="D46" s="14" t="s">
        <v>29</v>
      </c>
      <c r="E46" s="14">
        <v>6</v>
      </c>
      <c r="F46" s="14">
        <v>15</v>
      </c>
      <c r="G46" s="14">
        <v>7.5</v>
      </c>
      <c r="H46" s="14">
        <v>20</v>
      </c>
      <c r="I46" s="14">
        <v>15</v>
      </c>
      <c r="J46" s="14">
        <v>7.5</v>
      </c>
      <c r="K46" s="14">
        <v>15</v>
      </c>
      <c r="L46" s="14">
        <v>10</v>
      </c>
      <c r="M46" s="14">
        <f t="shared" si="10"/>
        <v>106</v>
      </c>
      <c r="N46" s="14">
        <f t="shared" si="11"/>
        <v>91</v>
      </c>
      <c r="O46" s="14">
        <f t="shared" si="12"/>
        <v>67</v>
      </c>
      <c r="P46" s="10">
        <f t="shared" si="9"/>
        <v>-6642810</v>
      </c>
      <c r="Q46" s="6">
        <f>4.7+5.75</f>
        <v>10.45</v>
      </c>
      <c r="R46" s="6">
        <f>5.7+4.7</f>
        <v>10.4</v>
      </c>
      <c r="S46" s="14" t="s">
        <v>29</v>
      </c>
      <c r="T46" s="14">
        <v>5</v>
      </c>
      <c r="U46" s="14">
        <v>10</v>
      </c>
      <c r="V46" s="14">
        <v>6</v>
      </c>
      <c r="W46" s="14">
        <v>20</v>
      </c>
      <c r="X46" s="14">
        <v>15</v>
      </c>
      <c r="Y46" s="14">
        <v>6</v>
      </c>
      <c r="Z46" s="14">
        <v>24</v>
      </c>
      <c r="AA46" s="14">
        <v>7.5</v>
      </c>
      <c r="AB46" s="14">
        <f t="shared" si="13"/>
        <v>134</v>
      </c>
      <c r="AC46" s="14">
        <f t="shared" si="14"/>
        <v>97</v>
      </c>
      <c r="AD46" s="14">
        <f t="shared" si="15"/>
        <v>67</v>
      </c>
    </row>
    <row r="47" spans="1:32" x14ac:dyDescent="0.25">
      <c r="A47" s="3">
        <v>140</v>
      </c>
      <c r="B47" s="6">
        <v>1.1499999999999999</v>
      </c>
      <c r="C47" s="6">
        <v>1.05</v>
      </c>
      <c r="D47" s="14" t="s">
        <v>29</v>
      </c>
      <c r="E47" s="14">
        <v>30</v>
      </c>
      <c r="F47" s="14">
        <v>60</v>
      </c>
      <c r="G47" s="14">
        <v>30</v>
      </c>
      <c r="H47" s="14">
        <v>60</v>
      </c>
      <c r="I47" s="14">
        <v>60</v>
      </c>
      <c r="J47" s="14">
        <v>30</v>
      </c>
      <c r="K47" s="14">
        <v>60</v>
      </c>
      <c r="L47" s="14">
        <v>30</v>
      </c>
      <c r="M47" s="14">
        <f t="shared" si="10"/>
        <v>26</v>
      </c>
      <c r="N47" s="14">
        <f t="shared" si="11"/>
        <v>26</v>
      </c>
      <c r="O47" s="14">
        <f t="shared" si="12"/>
        <v>18</v>
      </c>
      <c r="P47" s="10">
        <f t="shared" si="9"/>
        <v>-1500444.0000000005</v>
      </c>
      <c r="Q47" s="6">
        <v>1.1499999999999999</v>
      </c>
      <c r="R47" s="6">
        <v>1.05</v>
      </c>
      <c r="S47" s="14" t="s">
        <v>29</v>
      </c>
      <c r="T47" s="14">
        <v>10</v>
      </c>
      <c r="U47" s="14">
        <v>30</v>
      </c>
      <c r="V47" s="14">
        <v>12</v>
      </c>
      <c r="W47" s="14">
        <v>20</v>
      </c>
      <c r="X47" s="14">
        <v>30</v>
      </c>
      <c r="Y47" s="14">
        <v>12</v>
      </c>
      <c r="Z47" s="14">
        <v>30</v>
      </c>
      <c r="AA47" s="14">
        <v>15</v>
      </c>
      <c r="AB47" s="14">
        <f t="shared" si="13"/>
        <v>68</v>
      </c>
      <c r="AC47" s="14">
        <f t="shared" si="14"/>
        <v>60</v>
      </c>
      <c r="AD47" s="14">
        <f t="shared" si="15"/>
        <v>40</v>
      </c>
    </row>
    <row r="48" spans="1:32" x14ac:dyDescent="0.25">
      <c r="A48" s="3">
        <v>144</v>
      </c>
      <c r="B48" s="6">
        <v>3.65</v>
      </c>
      <c r="C48" s="6">
        <v>3.3</v>
      </c>
      <c r="D48" s="14" t="s">
        <v>30</v>
      </c>
      <c r="E48" s="14">
        <v>6</v>
      </c>
      <c r="F48" s="14">
        <v>15</v>
      </c>
      <c r="G48" s="14">
        <v>7.5</v>
      </c>
      <c r="H48" s="14">
        <v>20</v>
      </c>
      <c r="I48" s="14">
        <v>15</v>
      </c>
      <c r="J48" s="14">
        <v>7.5</v>
      </c>
      <c r="K48" s="14">
        <v>15</v>
      </c>
      <c r="L48" s="14">
        <v>10</v>
      </c>
      <c r="M48" s="14">
        <f t="shared" si="10"/>
        <v>106</v>
      </c>
      <c r="N48" s="14">
        <f t="shared" si="11"/>
        <v>91</v>
      </c>
      <c r="O48" s="14">
        <f t="shared" si="12"/>
        <v>67</v>
      </c>
      <c r="P48" s="10">
        <f t="shared" si="9"/>
        <v>-1627585.7499999981</v>
      </c>
      <c r="Q48" s="6">
        <v>3.65</v>
      </c>
      <c r="R48" s="6">
        <v>3.3</v>
      </c>
      <c r="S48" s="14" t="s">
        <v>29</v>
      </c>
      <c r="T48" s="14">
        <v>6</v>
      </c>
      <c r="U48" s="14">
        <v>15</v>
      </c>
      <c r="V48" s="14">
        <v>7.5</v>
      </c>
      <c r="W48" s="14">
        <v>20</v>
      </c>
      <c r="X48" s="14">
        <v>15</v>
      </c>
      <c r="Y48" s="14">
        <v>7.5</v>
      </c>
      <c r="Z48" s="14">
        <v>15</v>
      </c>
      <c r="AA48" s="14">
        <v>10</v>
      </c>
      <c r="AB48" s="14">
        <f t="shared" si="13"/>
        <v>106</v>
      </c>
      <c r="AC48" s="14">
        <f t="shared" si="14"/>
        <v>91</v>
      </c>
      <c r="AD48" s="14">
        <f t="shared" si="15"/>
        <v>67</v>
      </c>
    </row>
    <row r="49" spans="1:32" x14ac:dyDescent="0.25">
      <c r="A49" s="3">
        <v>145</v>
      </c>
      <c r="B49" s="6"/>
      <c r="C49" s="6"/>
      <c r="D49" s="14" t="s">
        <v>30</v>
      </c>
      <c r="E49" s="14"/>
      <c r="F49" s="14"/>
      <c r="G49" s="14"/>
      <c r="H49" s="14"/>
      <c r="I49" s="14"/>
      <c r="J49" s="14"/>
      <c r="K49" s="14"/>
      <c r="L49" s="14"/>
      <c r="M49" s="14">
        <f t="shared" si="10"/>
        <v>0</v>
      </c>
      <c r="N49" s="14">
        <f t="shared" si="11"/>
        <v>0</v>
      </c>
      <c r="O49" s="14">
        <f t="shared" si="12"/>
        <v>0</v>
      </c>
      <c r="P49" s="10">
        <f t="shared" si="9"/>
        <v>-11576288</v>
      </c>
      <c r="Q49" s="6">
        <v>4.3</v>
      </c>
      <c r="R49" s="6">
        <v>4.3</v>
      </c>
      <c r="S49" s="14" t="s">
        <v>30</v>
      </c>
      <c r="T49" s="14">
        <v>6</v>
      </c>
      <c r="U49" s="14">
        <v>15</v>
      </c>
      <c r="V49" s="14">
        <v>7.5</v>
      </c>
      <c r="W49" s="14">
        <v>30</v>
      </c>
      <c r="X49" s="14">
        <v>30</v>
      </c>
      <c r="Y49" s="14">
        <v>7.5</v>
      </c>
      <c r="Z49" s="14">
        <v>15</v>
      </c>
      <c r="AA49" s="14">
        <v>10</v>
      </c>
      <c r="AB49" s="14">
        <f t="shared" si="13"/>
        <v>101</v>
      </c>
      <c r="AC49" s="14">
        <f t="shared" si="14"/>
        <v>86</v>
      </c>
      <c r="AD49" s="14">
        <f t="shared" si="15"/>
        <v>36</v>
      </c>
    </row>
    <row r="50" spans="1:32" x14ac:dyDescent="0.25">
      <c r="A50" s="3">
        <v>152</v>
      </c>
      <c r="B50" s="6">
        <v>4.25</v>
      </c>
      <c r="C50" s="6">
        <v>4.1500000000000004</v>
      </c>
      <c r="D50" s="14" t="s">
        <v>29</v>
      </c>
      <c r="E50" s="14">
        <v>6</v>
      </c>
      <c r="F50" s="14">
        <v>15</v>
      </c>
      <c r="G50" s="14">
        <v>7.5</v>
      </c>
      <c r="H50" s="14">
        <v>30</v>
      </c>
      <c r="I50" s="14">
        <v>15</v>
      </c>
      <c r="J50" s="14">
        <v>7.5</v>
      </c>
      <c r="K50" s="14">
        <v>15</v>
      </c>
      <c r="L50" s="14">
        <v>10</v>
      </c>
      <c r="M50" s="14">
        <f t="shared" si="10"/>
        <v>101</v>
      </c>
      <c r="N50" s="14">
        <f t="shared" si="11"/>
        <v>86</v>
      </c>
      <c r="O50" s="14">
        <f t="shared" si="12"/>
        <v>63</v>
      </c>
      <c r="P50" s="10">
        <f t="shared" si="9"/>
        <v>-25074022.5</v>
      </c>
      <c r="Q50" s="6">
        <v>10.95</v>
      </c>
      <c r="R50" s="6">
        <v>10.9</v>
      </c>
      <c r="S50" s="14" t="s">
        <v>29</v>
      </c>
      <c r="T50" s="14">
        <v>6</v>
      </c>
      <c r="U50" s="14">
        <v>15</v>
      </c>
      <c r="V50" s="14">
        <v>7.5</v>
      </c>
      <c r="W50" s="14">
        <v>20</v>
      </c>
      <c r="X50" s="14">
        <v>15</v>
      </c>
      <c r="Y50" s="14">
        <v>7.5</v>
      </c>
      <c r="Z50" s="14">
        <v>15</v>
      </c>
      <c r="AA50" s="14">
        <v>10</v>
      </c>
      <c r="AB50" s="14">
        <f t="shared" si="13"/>
        <v>106</v>
      </c>
      <c r="AC50" s="14">
        <f t="shared" si="14"/>
        <v>91</v>
      </c>
      <c r="AD50" s="14">
        <f t="shared" si="15"/>
        <v>67</v>
      </c>
    </row>
    <row r="51" spans="1:32" x14ac:dyDescent="0.25">
      <c r="A51" s="3">
        <v>154</v>
      </c>
      <c r="B51" s="6">
        <f>2.2+15.75</f>
        <v>17.95</v>
      </c>
      <c r="C51" s="6">
        <f>15.1+2.25</f>
        <v>17.350000000000001</v>
      </c>
      <c r="D51" s="14" t="s">
        <v>30</v>
      </c>
      <c r="E51" s="14">
        <v>12</v>
      </c>
      <c r="F51" s="14">
        <v>30</v>
      </c>
      <c r="G51" s="14">
        <v>15</v>
      </c>
      <c r="H51" s="14">
        <v>30</v>
      </c>
      <c r="I51" s="14">
        <v>30</v>
      </c>
      <c r="J51" s="14">
        <v>15</v>
      </c>
      <c r="K51" s="14">
        <v>30</v>
      </c>
      <c r="L51" s="14">
        <v>20</v>
      </c>
      <c r="M51" s="14">
        <f t="shared" si="10"/>
        <v>55</v>
      </c>
      <c r="N51" s="14">
        <f t="shared" si="11"/>
        <v>48</v>
      </c>
      <c r="O51" s="14">
        <f t="shared" si="12"/>
        <v>36</v>
      </c>
      <c r="P51" s="10">
        <f t="shared" si="9"/>
        <v>-4141170</v>
      </c>
      <c r="Q51" s="6">
        <v>20.8</v>
      </c>
      <c r="R51" s="6">
        <v>21.4</v>
      </c>
      <c r="S51" s="14" t="s">
        <v>30</v>
      </c>
      <c r="T51" s="14">
        <v>12</v>
      </c>
      <c r="U51" s="14">
        <v>30</v>
      </c>
      <c r="V51" s="14">
        <v>15</v>
      </c>
      <c r="W51" s="14">
        <v>40</v>
      </c>
      <c r="X51" s="14">
        <v>30</v>
      </c>
      <c r="Y51" s="14">
        <v>15</v>
      </c>
      <c r="Z51" s="14">
        <v>30</v>
      </c>
      <c r="AA51" s="14">
        <v>20</v>
      </c>
      <c r="AB51" s="14">
        <f t="shared" si="13"/>
        <v>53</v>
      </c>
      <c r="AC51" s="14">
        <f t="shared" si="14"/>
        <v>45</v>
      </c>
      <c r="AD51" s="14">
        <f t="shared" si="15"/>
        <v>34</v>
      </c>
      <c r="AF51" t="s">
        <v>42</v>
      </c>
    </row>
    <row r="52" spans="1:32" x14ac:dyDescent="0.25">
      <c r="A52" s="3">
        <v>158</v>
      </c>
      <c r="B52" s="6">
        <f>1.15+6.55</f>
        <v>7.6999999999999993</v>
      </c>
      <c r="C52" s="6">
        <f>6.35+1.05</f>
        <v>7.3999999999999995</v>
      </c>
      <c r="D52" s="14" t="s">
        <v>29</v>
      </c>
      <c r="E52" s="14">
        <v>6</v>
      </c>
      <c r="F52" s="14">
        <v>15</v>
      </c>
      <c r="G52" s="14">
        <v>7.5</v>
      </c>
      <c r="H52" s="14">
        <v>20</v>
      </c>
      <c r="I52" s="14">
        <v>15</v>
      </c>
      <c r="J52" s="14">
        <v>7.5</v>
      </c>
      <c r="K52" s="14">
        <v>15</v>
      </c>
      <c r="L52" s="14">
        <v>10</v>
      </c>
      <c r="M52" s="14">
        <f t="shared" si="10"/>
        <v>106</v>
      </c>
      <c r="N52" s="14">
        <f t="shared" si="11"/>
        <v>91</v>
      </c>
      <c r="O52" s="14">
        <f t="shared" si="12"/>
        <v>67</v>
      </c>
      <c r="P52" s="10">
        <f t="shared" si="9"/>
        <v>15186976.499999996</v>
      </c>
      <c r="Q52" s="6">
        <v>8</v>
      </c>
      <c r="R52" s="6">
        <v>8.0500000000000007</v>
      </c>
      <c r="S52" s="14" t="s">
        <v>30</v>
      </c>
      <c r="T52" s="14">
        <v>12</v>
      </c>
      <c r="U52" s="14">
        <v>30</v>
      </c>
      <c r="V52" s="14">
        <v>15</v>
      </c>
      <c r="W52" s="14">
        <v>60</v>
      </c>
      <c r="X52" s="14">
        <v>30</v>
      </c>
      <c r="Y52" s="14">
        <v>15</v>
      </c>
      <c r="Z52" s="14">
        <v>30</v>
      </c>
      <c r="AA52" s="14">
        <v>20</v>
      </c>
      <c r="AB52" s="14">
        <f t="shared" si="13"/>
        <v>51</v>
      </c>
      <c r="AC52" s="14">
        <f t="shared" si="14"/>
        <v>43</v>
      </c>
      <c r="AD52" s="14">
        <f t="shared" si="15"/>
        <v>32</v>
      </c>
    </row>
    <row r="53" spans="1:32" x14ac:dyDescent="0.25">
      <c r="A53" s="3">
        <v>158</v>
      </c>
      <c r="B53" s="6"/>
      <c r="C53" s="6"/>
      <c r="D53" s="14" t="s">
        <v>30</v>
      </c>
      <c r="E53" s="14"/>
      <c r="F53" s="14"/>
      <c r="G53" s="14"/>
      <c r="H53" s="14"/>
      <c r="I53" s="14"/>
      <c r="J53" s="14"/>
      <c r="K53" s="14"/>
      <c r="L53" s="14"/>
      <c r="M53" s="14">
        <f t="shared" ref="M53:M65" si="22">IF(COUNT(E53:H53)=0,0,ROUND($C$4*(IF(ISBLANK(E53),0,60/E53))/2+$C$5*IF(ISBLANK(E53),0,60/E53)+$C$6*(IF(ISBLANK(E53),0,60/E53)+IF(ISBLANK(F53),0,60/F53))/2+$C$7*IF(ISBLANK(F53),0,60/F53)+$C$8*(IF(ISBLANK(F53),0,60/F53)+IF(ISBLANK(G53),0,60/G53))/2+$C$9*IF(ISBLANK(G53),0,60/G53)+$C$10*(IF(ISBLANK(G53),0,60/G53)+IF(ISBLANK(H53),0,60/H53))/2+$C$11*IF(ISBLANK(H53),0,60/H53),0))</f>
        <v>0</v>
      </c>
      <c r="N53" s="14">
        <f t="shared" ref="N53:N65" si="23">IF(AND(ISBLANK(H53),COUNT(J53:L53)=0),0,ROUND($C$4*(IF(ISBLANK(J53),0,60/J53))/2+$C$5*IF(ISBLANK(J53),0,60/J53)+$C$6*(IF(ISBLANK(J53),0,60/J53)+IF(ISBLANK(K53),0,60/K53))/2+$C$7*IF(ISBLANK(K53),0,60/K53)+$C$8*(IF(ISBLANK(K53),0,60/K53)+IF(ISBLANK(L53),0,60/L53))/2+$C$9*IF(ISBLANK(L53),0,60/L53)+$C$10*(IF(ISBLANK(L53),0,60/L53)+IF(ISBLANK(H53),0,60/H53))/2+$C$11*IF(ISBLANK(H53),0,60/H53),0))</f>
        <v>0</v>
      </c>
      <c r="O53" s="14">
        <f t="shared" ref="O53:O65" si="24">IF(COUNT(H53:I53)=0,0,ROUND($C$13*(60/IF(ISBLANK(I53),1440,I53))/2+$C$14*60/IF(ISBLANK(I53),1440,I53)+$C$15*(60/IF(ISBLANK(I53),1440,I53)+60/IF(ISBLANK(H53),1440,H53))/2+$C$16*60/IF(ISBLANK(H53),1440,H53),0))</f>
        <v>0</v>
      </c>
      <c r="P53" s="10">
        <f t="shared" si="9"/>
        <v>-1885640</v>
      </c>
      <c r="Q53" s="6">
        <v>2.95</v>
      </c>
      <c r="R53" s="6">
        <v>2.95</v>
      </c>
      <c r="S53" s="14" t="s">
        <v>30</v>
      </c>
      <c r="T53" s="14">
        <v>12</v>
      </c>
      <c r="U53" s="14"/>
      <c r="V53" s="14">
        <v>15</v>
      </c>
      <c r="W53" s="14"/>
      <c r="X53" s="14"/>
      <c r="Y53" s="14"/>
      <c r="Z53" s="14"/>
      <c r="AA53" s="14"/>
      <c r="AB53" s="14">
        <f t="shared" si="13"/>
        <v>34</v>
      </c>
      <c r="AC53" s="14">
        <f t="shared" si="14"/>
        <v>0</v>
      </c>
      <c r="AD53" s="14">
        <f t="shared" si="15"/>
        <v>0</v>
      </c>
    </row>
    <row r="54" spans="1:32" x14ac:dyDescent="0.25">
      <c r="A54" s="3">
        <v>159</v>
      </c>
      <c r="B54" s="6">
        <f>3.9+0.45</f>
        <v>4.3499999999999996</v>
      </c>
      <c r="C54" s="6">
        <f>0.55+3.75</f>
        <v>4.3</v>
      </c>
      <c r="D54" s="14" t="s">
        <v>30</v>
      </c>
      <c r="E54" s="14">
        <v>15</v>
      </c>
      <c r="F54" s="14"/>
      <c r="G54" s="14">
        <v>15</v>
      </c>
      <c r="H54" s="14"/>
      <c r="I54" s="14"/>
      <c r="J54" s="14">
        <v>15</v>
      </c>
      <c r="K54" s="14"/>
      <c r="L54" s="14">
        <v>15</v>
      </c>
      <c r="M54" s="14">
        <f t="shared" si="22"/>
        <v>31</v>
      </c>
      <c r="N54" s="14">
        <f t="shared" si="23"/>
        <v>31</v>
      </c>
      <c r="O54" s="14">
        <f t="shared" si="24"/>
        <v>0</v>
      </c>
      <c r="P54" s="10">
        <f t="shared" si="9"/>
        <v>3150762.4999999995</v>
      </c>
      <c r="Q54" s="6"/>
      <c r="R54" s="6"/>
      <c r="S54" s="14" t="s">
        <v>30</v>
      </c>
      <c r="T54" s="14"/>
      <c r="U54" s="14"/>
      <c r="V54" s="14"/>
      <c r="W54" s="14"/>
      <c r="X54" s="14"/>
      <c r="Y54" s="14"/>
      <c r="Z54" s="14"/>
      <c r="AA54" s="14"/>
      <c r="AB54" s="14">
        <f t="shared" si="13"/>
        <v>0</v>
      </c>
      <c r="AC54" s="14">
        <f t="shared" si="14"/>
        <v>0</v>
      </c>
      <c r="AD54" s="14">
        <f t="shared" si="15"/>
        <v>0</v>
      </c>
    </row>
    <row r="55" spans="1:32" x14ac:dyDescent="0.25">
      <c r="A55" s="3">
        <v>166</v>
      </c>
      <c r="B55" s="6">
        <v>5.24</v>
      </c>
      <c r="C55" s="6">
        <v>5.69</v>
      </c>
      <c r="D55" s="14" t="s">
        <v>40</v>
      </c>
      <c r="E55" s="14">
        <v>30</v>
      </c>
      <c r="F55" s="14">
        <v>30</v>
      </c>
      <c r="G55" s="14">
        <v>30</v>
      </c>
      <c r="H55" s="14"/>
      <c r="I55" s="14">
        <v>60</v>
      </c>
      <c r="J55" s="14">
        <v>30</v>
      </c>
      <c r="K55" s="14">
        <v>30</v>
      </c>
      <c r="L55" s="14">
        <v>30</v>
      </c>
      <c r="M55" s="14">
        <f t="shared" si="22"/>
        <v>28</v>
      </c>
      <c r="N55" s="14">
        <f t="shared" si="23"/>
        <v>28</v>
      </c>
      <c r="O55" s="14">
        <f t="shared" si="24"/>
        <v>14</v>
      </c>
      <c r="P55" s="10">
        <f t="shared" si="9"/>
        <v>-6145387.5000000019</v>
      </c>
      <c r="Q55" s="6">
        <v>20.09</v>
      </c>
      <c r="R55" s="6">
        <v>19.39</v>
      </c>
      <c r="S55" s="14" t="s">
        <v>40</v>
      </c>
      <c r="T55" s="14">
        <v>30</v>
      </c>
      <c r="U55" s="14">
        <v>30</v>
      </c>
      <c r="V55" s="14">
        <v>30</v>
      </c>
      <c r="W55" s="14"/>
      <c r="X55" s="14">
        <v>60</v>
      </c>
      <c r="Y55" s="14">
        <v>30</v>
      </c>
      <c r="Z55" s="14">
        <v>30</v>
      </c>
      <c r="AA55" s="14">
        <v>30</v>
      </c>
      <c r="AB55" s="14">
        <f t="shared" si="13"/>
        <v>28</v>
      </c>
      <c r="AC55" s="14">
        <f t="shared" si="14"/>
        <v>28</v>
      </c>
      <c r="AD55" s="14">
        <f t="shared" si="15"/>
        <v>14</v>
      </c>
    </row>
    <row r="56" spans="1:32" x14ac:dyDescent="0.25">
      <c r="A56" s="3">
        <v>166</v>
      </c>
      <c r="B56" s="6">
        <v>2.1</v>
      </c>
      <c r="C56" s="6">
        <v>1.25</v>
      </c>
      <c r="D56" s="14" t="s">
        <v>40</v>
      </c>
      <c r="E56" s="14"/>
      <c r="F56" s="14"/>
      <c r="G56" s="14"/>
      <c r="H56" s="14">
        <v>60</v>
      </c>
      <c r="I56" s="14"/>
      <c r="J56" s="14"/>
      <c r="K56" s="14"/>
      <c r="L56" s="14"/>
      <c r="M56" s="14">
        <f t="shared" si="22"/>
        <v>5</v>
      </c>
      <c r="N56" s="14">
        <f t="shared" si="23"/>
        <v>5</v>
      </c>
      <c r="O56" s="14">
        <f t="shared" si="24"/>
        <v>5</v>
      </c>
      <c r="P56" s="10">
        <f t="shared" si="9"/>
        <v>-255043.75</v>
      </c>
      <c r="Q56" s="6">
        <v>4.8499999999999996</v>
      </c>
      <c r="R56" s="6">
        <v>4.09</v>
      </c>
      <c r="S56" s="14" t="s">
        <v>40</v>
      </c>
      <c r="T56" s="14"/>
      <c r="U56" s="14"/>
      <c r="V56" s="14"/>
      <c r="W56" s="14">
        <v>60</v>
      </c>
      <c r="X56" s="14"/>
      <c r="Y56" s="14"/>
      <c r="Z56" s="14"/>
      <c r="AA56" s="14"/>
      <c r="AB56" s="14">
        <f t="shared" si="13"/>
        <v>5</v>
      </c>
      <c r="AC56" s="14">
        <f t="shared" si="14"/>
        <v>5</v>
      </c>
      <c r="AD56" s="14">
        <f t="shared" si="15"/>
        <v>5</v>
      </c>
    </row>
    <row r="57" spans="1:32" x14ac:dyDescent="0.25">
      <c r="A57" s="3">
        <v>175</v>
      </c>
      <c r="B57" s="6">
        <v>7.35</v>
      </c>
      <c r="C57" s="6">
        <v>7.4</v>
      </c>
      <c r="D57" s="14" t="s">
        <v>30</v>
      </c>
      <c r="E57" s="14">
        <v>12</v>
      </c>
      <c r="F57" s="14">
        <v>30</v>
      </c>
      <c r="G57" s="14">
        <v>15</v>
      </c>
      <c r="H57" s="14">
        <v>40</v>
      </c>
      <c r="I57" s="14">
        <v>30</v>
      </c>
      <c r="J57" s="14">
        <v>15</v>
      </c>
      <c r="K57" s="14">
        <v>30</v>
      </c>
      <c r="L57" s="14">
        <v>20</v>
      </c>
      <c r="M57" s="14">
        <f t="shared" si="22"/>
        <v>53</v>
      </c>
      <c r="N57" s="14">
        <f t="shared" si="23"/>
        <v>45</v>
      </c>
      <c r="O57" s="14">
        <f t="shared" si="24"/>
        <v>34</v>
      </c>
      <c r="P57" s="10">
        <f t="shared" si="9"/>
        <v>-17132910</v>
      </c>
      <c r="Q57" s="6">
        <v>18.3</v>
      </c>
      <c r="R57" s="6">
        <v>18.2</v>
      </c>
      <c r="S57" s="14" t="s">
        <v>30</v>
      </c>
      <c r="T57" s="14">
        <v>12</v>
      </c>
      <c r="U57" s="14">
        <v>30</v>
      </c>
      <c r="V57" s="14">
        <v>15</v>
      </c>
      <c r="W57" s="14">
        <v>40</v>
      </c>
      <c r="X57" s="14">
        <v>30</v>
      </c>
      <c r="Y57" s="14">
        <v>15</v>
      </c>
      <c r="Z57" s="14">
        <v>30</v>
      </c>
      <c r="AA57" s="14">
        <v>20</v>
      </c>
      <c r="AB57" s="14">
        <f t="shared" si="13"/>
        <v>53</v>
      </c>
      <c r="AC57" s="14">
        <f t="shared" si="14"/>
        <v>45</v>
      </c>
      <c r="AD57" s="14">
        <f t="shared" si="15"/>
        <v>34</v>
      </c>
    </row>
    <row r="58" spans="1:32" x14ac:dyDescent="0.25">
      <c r="A58" s="3">
        <v>182</v>
      </c>
      <c r="B58" s="6">
        <f>4.3+5.65+14.65</f>
        <v>24.6</v>
      </c>
      <c r="C58" s="6">
        <f>14.85+5.6+4.3</f>
        <v>24.75</v>
      </c>
      <c r="D58" s="14" t="s">
        <v>30</v>
      </c>
      <c r="E58" s="14">
        <v>12</v>
      </c>
      <c r="F58" s="14"/>
      <c r="G58" s="14">
        <v>15</v>
      </c>
      <c r="H58" s="14"/>
      <c r="I58" s="14"/>
      <c r="J58" s="14">
        <v>15</v>
      </c>
      <c r="K58" s="14"/>
      <c r="L58" s="14">
        <v>20</v>
      </c>
      <c r="M58" s="14">
        <f t="shared" si="22"/>
        <v>34</v>
      </c>
      <c r="N58" s="14">
        <f t="shared" si="23"/>
        <v>26</v>
      </c>
      <c r="O58" s="14">
        <f t="shared" si="24"/>
        <v>0</v>
      </c>
      <c r="P58" s="10">
        <f t="shared" si="9"/>
        <v>889945.00000000373</v>
      </c>
      <c r="Q58" s="6">
        <v>27.5</v>
      </c>
      <c r="R58" s="6">
        <v>28.5</v>
      </c>
      <c r="S58" s="14" t="s">
        <v>30</v>
      </c>
      <c r="T58" s="14">
        <v>12</v>
      </c>
      <c r="U58" s="14"/>
      <c r="V58" s="14">
        <v>15</v>
      </c>
      <c r="W58" s="14"/>
      <c r="X58" s="14"/>
      <c r="Y58" s="14"/>
      <c r="Z58" s="14"/>
      <c r="AA58" s="14"/>
      <c r="AB58" s="14">
        <f t="shared" si="13"/>
        <v>34</v>
      </c>
      <c r="AC58" s="14">
        <f t="shared" si="14"/>
        <v>0</v>
      </c>
      <c r="AD58" s="14">
        <f t="shared" si="15"/>
        <v>0</v>
      </c>
    </row>
    <row r="59" spans="1:32" x14ac:dyDescent="0.25">
      <c r="A59" s="3">
        <v>183</v>
      </c>
      <c r="B59" s="6">
        <f>4.3+5.65+6.65+1.85+3.84+0.45+4.75</f>
        <v>27.490000000000002</v>
      </c>
      <c r="C59" s="6">
        <f>4.5+0.4+3.54+1.75+7.05+5.6+4.3</f>
        <v>27.140000000000004</v>
      </c>
      <c r="D59" s="14" t="s">
        <v>30</v>
      </c>
      <c r="E59" s="14">
        <v>12</v>
      </c>
      <c r="F59" s="14">
        <v>30</v>
      </c>
      <c r="G59" s="14">
        <v>15</v>
      </c>
      <c r="H59" s="14"/>
      <c r="I59" s="14">
        <v>30</v>
      </c>
      <c r="J59" s="14">
        <v>15</v>
      </c>
      <c r="K59" s="14">
        <v>30</v>
      </c>
      <c r="L59" s="14">
        <v>20</v>
      </c>
      <c r="M59" s="14">
        <f t="shared" si="22"/>
        <v>46</v>
      </c>
      <c r="N59" s="14">
        <f t="shared" si="23"/>
        <v>38</v>
      </c>
      <c r="O59" s="14">
        <f t="shared" si="24"/>
        <v>28</v>
      </c>
      <c r="P59" s="10">
        <f t="shared" si="9"/>
        <v>9165805.2000000142</v>
      </c>
      <c r="Q59" s="6">
        <v>23.1</v>
      </c>
      <c r="R59" s="6">
        <v>22.95</v>
      </c>
      <c r="S59" s="14" t="s">
        <v>29</v>
      </c>
      <c r="T59" s="14">
        <v>12</v>
      </c>
      <c r="U59" s="14">
        <v>30</v>
      </c>
      <c r="V59" s="14">
        <v>15</v>
      </c>
      <c r="W59" s="14"/>
      <c r="X59" s="14"/>
      <c r="Y59" s="14">
        <v>15</v>
      </c>
      <c r="Z59" s="14">
        <v>30</v>
      </c>
      <c r="AA59" s="14">
        <v>20</v>
      </c>
      <c r="AB59" s="14">
        <f t="shared" si="13"/>
        <v>46</v>
      </c>
      <c r="AC59" s="14">
        <f t="shared" si="14"/>
        <v>38</v>
      </c>
      <c r="AD59" s="14">
        <f t="shared" si="15"/>
        <v>0</v>
      </c>
    </row>
    <row r="60" spans="1:32" x14ac:dyDescent="0.25">
      <c r="A60" s="3">
        <v>183</v>
      </c>
      <c r="B60" s="6">
        <v>4.3</v>
      </c>
      <c r="C60" s="6">
        <v>4.3</v>
      </c>
      <c r="D60" s="14" t="s">
        <v>30</v>
      </c>
      <c r="E60" s="14"/>
      <c r="F60" s="14"/>
      <c r="G60" s="14"/>
      <c r="H60" s="14">
        <v>30</v>
      </c>
      <c r="I60" s="14"/>
      <c r="J60" s="14"/>
      <c r="K60" s="14"/>
      <c r="L60" s="14"/>
      <c r="M60" s="14">
        <f t="shared" si="22"/>
        <v>9</v>
      </c>
      <c r="N60" s="14">
        <f t="shared" si="23"/>
        <v>9</v>
      </c>
      <c r="O60" s="14">
        <f t="shared" si="24"/>
        <v>9</v>
      </c>
      <c r="P60" s="10">
        <f t="shared" si="9"/>
        <v>-10922424</v>
      </c>
      <c r="Q60" s="6">
        <v>23.1</v>
      </c>
      <c r="R60" s="6">
        <v>22.95</v>
      </c>
      <c r="S60" s="14" t="s">
        <v>30</v>
      </c>
      <c r="T60" s="14"/>
      <c r="U60" s="14"/>
      <c r="V60" s="14"/>
      <c r="W60" s="14">
        <v>40</v>
      </c>
      <c r="X60" s="14">
        <v>30</v>
      </c>
      <c r="Y60" s="14"/>
      <c r="Z60" s="14"/>
      <c r="AA60" s="14"/>
      <c r="AB60" s="14">
        <f t="shared" si="13"/>
        <v>7</v>
      </c>
      <c r="AC60" s="14">
        <f t="shared" si="14"/>
        <v>7</v>
      </c>
      <c r="AD60" s="14">
        <f t="shared" si="15"/>
        <v>34</v>
      </c>
    </row>
    <row r="61" spans="1:32" x14ac:dyDescent="0.25">
      <c r="A61" s="3">
        <v>185</v>
      </c>
      <c r="B61" s="6">
        <f>8.15+0.3</f>
        <v>8.4500000000000011</v>
      </c>
      <c r="C61" s="6">
        <f>0.25+8.05</f>
        <v>8.3000000000000007</v>
      </c>
      <c r="D61" s="14" t="s">
        <v>30</v>
      </c>
      <c r="E61" s="14">
        <v>30</v>
      </c>
      <c r="F61" s="14">
        <v>60</v>
      </c>
      <c r="G61" s="14">
        <v>30</v>
      </c>
      <c r="H61" s="14">
        <v>60</v>
      </c>
      <c r="I61" s="14">
        <v>60</v>
      </c>
      <c r="J61" s="14">
        <v>30</v>
      </c>
      <c r="K61" s="14">
        <v>60</v>
      </c>
      <c r="L61" s="14">
        <v>30</v>
      </c>
      <c r="M61" s="14">
        <f t="shared" si="22"/>
        <v>26</v>
      </c>
      <c r="N61" s="14">
        <f t="shared" si="23"/>
        <v>26</v>
      </c>
      <c r="O61" s="14">
        <f t="shared" si="24"/>
        <v>18</v>
      </c>
      <c r="P61" s="10">
        <f t="shared" si="9"/>
        <v>-1051061.0000000009</v>
      </c>
      <c r="Q61" s="6">
        <v>5.4</v>
      </c>
      <c r="R61" s="6">
        <v>4.95</v>
      </c>
      <c r="S61" s="14" t="s">
        <v>30</v>
      </c>
      <c r="T61" s="14">
        <v>12</v>
      </c>
      <c r="U61" s="14">
        <v>30</v>
      </c>
      <c r="V61" s="14">
        <v>15</v>
      </c>
      <c r="W61" s="14">
        <v>60</v>
      </c>
      <c r="X61" s="14">
        <v>30</v>
      </c>
      <c r="Y61" s="14">
        <v>15</v>
      </c>
      <c r="Z61" s="14">
        <v>30</v>
      </c>
      <c r="AA61" s="14">
        <v>20</v>
      </c>
      <c r="AB61" s="14">
        <f t="shared" si="13"/>
        <v>51</v>
      </c>
      <c r="AC61" s="14">
        <f t="shared" si="14"/>
        <v>43</v>
      </c>
      <c r="AD61" s="14">
        <f t="shared" si="15"/>
        <v>32</v>
      </c>
    </row>
    <row r="62" spans="1:32" x14ac:dyDescent="0.25">
      <c r="A62" s="3">
        <v>195</v>
      </c>
      <c r="B62" s="6">
        <f>13.15+5.25</f>
        <v>18.399999999999999</v>
      </c>
      <c r="C62" s="6">
        <f>13.1+5.05</f>
        <v>18.149999999999999</v>
      </c>
      <c r="D62" s="14" t="s">
        <v>29</v>
      </c>
      <c r="E62" s="14">
        <v>6</v>
      </c>
      <c r="F62" s="14">
        <v>15</v>
      </c>
      <c r="G62" s="14">
        <v>7.5</v>
      </c>
      <c r="H62" s="14">
        <v>20</v>
      </c>
      <c r="I62" s="14">
        <v>15</v>
      </c>
      <c r="J62" s="14">
        <v>7.5</v>
      </c>
      <c r="K62" s="14">
        <v>15</v>
      </c>
      <c r="L62" s="14">
        <v>10</v>
      </c>
      <c r="M62" s="14">
        <f t="shared" si="22"/>
        <v>106</v>
      </c>
      <c r="N62" s="14">
        <f t="shared" si="23"/>
        <v>91</v>
      </c>
      <c r="O62" s="14">
        <f t="shared" si="24"/>
        <v>67</v>
      </c>
      <c r="P62" s="10">
        <f t="shared" si="9"/>
        <v>8039236.4999999925</v>
      </c>
      <c r="Q62" s="6">
        <v>16.100000000000001</v>
      </c>
      <c r="R62" s="6">
        <v>16</v>
      </c>
      <c r="S62" s="14" t="s">
        <v>29</v>
      </c>
      <c r="T62" s="14">
        <v>6</v>
      </c>
      <c r="U62" s="14">
        <v>15</v>
      </c>
      <c r="V62" s="14">
        <v>7.5</v>
      </c>
      <c r="W62" s="14">
        <v>20</v>
      </c>
      <c r="X62" s="14">
        <v>15</v>
      </c>
      <c r="Y62" s="14">
        <v>7.5</v>
      </c>
      <c r="Z62" s="14">
        <v>15</v>
      </c>
      <c r="AA62" s="14">
        <v>10</v>
      </c>
      <c r="AB62" s="14">
        <f>IF(COUNT(T62:W62)=0,0,ROUND($C$4*(IF(ISBLANK(T62),0,60/T62))/2+$C$5*IF(ISBLANK(T62),0,60/T62)+$C$6*(IF(ISBLANK(T62),0,60/T62)+IF(ISBLANK(U62),0,60/U62))/2+$C$7*IF(ISBLANK(U62),0,60/U62)+$C$8*(IF(ISBLANK(U62),0,60/U62)+IF(ISBLANK(V62),0,60/V62))/2+$C$9*IF(ISBLANK(V62),0,60/V62)+$C$10*(IF(ISBLANK(V62),0,60/V62)+IF(ISBLANK(W62),0,60/W62))/2+$C$11*IF(ISBLANK(W62),0,60/W62),0))</f>
        <v>106</v>
      </c>
      <c r="AC62" s="14">
        <f>IF(AND(ISBLANK(W62),COUNT(Y62:AA62)=0),0,ROUND($C$4*(IF(ISBLANK(Y62),0,60/Y62))/2+$C$5*IF(ISBLANK(Y62),0,60/Y62)+$C$6*(IF(ISBLANK(Y62),0,60/Y62)+IF(ISBLANK(Z62),0,60/Z62))/2+$C$7*IF(ISBLANK(Z62),0,60/Z62)+$C$8*(IF(ISBLANK(Z62),0,60/Z62)+IF(ISBLANK(AA62),0,60/AA62))/2+$C$9*IF(ISBLANK(AA62),0,60/AA62)+$C$10*(IF(ISBLANK(AA62),0,60/AA62)+IF(ISBLANK(W62),0,60/W62))/2+$C$11*IF(ISBLANK(W62),0,60/W62),0))</f>
        <v>91</v>
      </c>
      <c r="AD62" s="14">
        <f>IF(COUNT(W62:X62)=0,0,ROUND($C$13*(60/IF(ISBLANK(X62),1440,X62))/2+$C$14*60/IF(ISBLANK(X62),1440,X62)+$C$15*(60/IF(ISBLANK(X62),1440,X62)+60/IF(ISBLANK(W62),1440,W62))/2+$C$16*60/IF(ISBLANK(W62),1440,W62),0))</f>
        <v>67</v>
      </c>
    </row>
    <row r="63" spans="1:32" x14ac:dyDescent="0.25">
      <c r="A63" s="3">
        <v>195</v>
      </c>
      <c r="B63" s="6">
        <v>0.95</v>
      </c>
      <c r="C63" s="6">
        <v>1</v>
      </c>
      <c r="D63" s="14" t="s">
        <v>29</v>
      </c>
      <c r="E63" s="14"/>
      <c r="F63" s="14"/>
      <c r="G63" s="14"/>
      <c r="H63" s="14">
        <v>60</v>
      </c>
      <c r="I63" s="14">
        <v>60</v>
      </c>
      <c r="J63" s="14"/>
      <c r="K63" s="14"/>
      <c r="L63" s="14"/>
      <c r="M63" s="14">
        <f t="shared" si="22"/>
        <v>5</v>
      </c>
      <c r="N63" s="14">
        <f t="shared" si="23"/>
        <v>5</v>
      </c>
      <c r="O63" s="14">
        <f t="shared" si="24"/>
        <v>18</v>
      </c>
      <c r="P63" s="10">
        <f t="shared" si="9"/>
        <v>349596</v>
      </c>
      <c r="Q63" s="6"/>
      <c r="R63" s="6"/>
      <c r="S63" s="14" t="s">
        <v>29</v>
      </c>
      <c r="T63" s="14"/>
      <c r="U63" s="14"/>
      <c r="V63" s="14"/>
      <c r="W63" s="14"/>
      <c r="X63" s="14"/>
      <c r="Y63" s="14"/>
      <c r="Z63" s="14"/>
      <c r="AA63" s="14"/>
      <c r="AB63" s="14">
        <f t="shared" ref="AB63:AB64" si="25">IF(COUNT(T63:W63)=0,0,ROUND($C$4*(IF(ISBLANK(T63),0,60/T63))/2+$C$5*IF(ISBLANK(T63),0,60/T63)+$C$6*(IF(ISBLANK(T63),0,60/T63)+IF(ISBLANK(U63),0,60/U63))/2+$C$7*IF(ISBLANK(U63),0,60/U63)+$C$8*(IF(ISBLANK(U63),0,60/U63)+IF(ISBLANK(V63),0,60/V63))/2+$C$9*IF(ISBLANK(V63),0,60/V63)+$C$10*(IF(ISBLANK(V63),0,60/V63)+IF(ISBLANK(W63),0,60/W63))/2+$C$11*IF(ISBLANK(W63),0,60/W63),0))</f>
        <v>0</v>
      </c>
      <c r="AC63" s="14">
        <f t="shared" ref="AC63:AC64" si="26">IF(AND(ISBLANK(W63),COUNT(Y63:AA63)=0),0,ROUND($C$4*(IF(ISBLANK(Y63),0,60/Y63))/2+$C$5*IF(ISBLANK(Y63),0,60/Y63)+$C$6*(IF(ISBLANK(Y63),0,60/Y63)+IF(ISBLANK(Z63),0,60/Z63))/2+$C$7*IF(ISBLANK(Z63),0,60/Z63)+$C$8*(IF(ISBLANK(Z63),0,60/Z63)+IF(ISBLANK(AA63),0,60/AA63))/2+$C$9*IF(ISBLANK(AA63),0,60/AA63)+$C$10*(IF(ISBLANK(AA63),0,60/AA63)+IF(ISBLANK(W63),0,60/W63))/2+$C$11*IF(ISBLANK(W63),0,60/W63),0))</f>
        <v>0</v>
      </c>
      <c r="AD63" s="14">
        <f t="shared" ref="AD63:AD64" si="27">IF(COUNT(W63:X63)=0,0,ROUND($C$13*(60/IF(ISBLANK(X63),1440,X63))/2+$C$14*60/IF(ISBLANK(X63),1440,X63)+$C$15*(60/IF(ISBLANK(X63),1440,X63)+60/IF(ISBLANK(W63),1440,W63))/2+$C$16*60/IF(ISBLANK(W63),1440,W63),0))</f>
        <v>0</v>
      </c>
      <c r="AF63" t="s">
        <v>35</v>
      </c>
    </row>
    <row r="64" spans="1:32" x14ac:dyDescent="0.25">
      <c r="A64" s="3">
        <v>200</v>
      </c>
      <c r="B64" s="6">
        <v>4</v>
      </c>
      <c r="C64" s="6">
        <v>4.2</v>
      </c>
      <c r="D64" s="14" t="s">
        <v>29</v>
      </c>
      <c r="E64" s="14">
        <v>3</v>
      </c>
      <c r="F64" s="14">
        <v>7.5</v>
      </c>
      <c r="G64" s="14">
        <v>3.75</v>
      </c>
      <c r="H64" s="14">
        <v>20</v>
      </c>
      <c r="I64" s="14">
        <v>15</v>
      </c>
      <c r="J64" s="14">
        <v>3.75</v>
      </c>
      <c r="K64" s="14">
        <v>7.5</v>
      </c>
      <c r="L64" s="14">
        <v>5</v>
      </c>
      <c r="M64" s="14">
        <f t="shared" si="22"/>
        <v>198</v>
      </c>
      <c r="N64" s="14">
        <f t="shared" si="23"/>
        <v>167</v>
      </c>
      <c r="O64" s="14">
        <f t="shared" si="24"/>
        <v>67</v>
      </c>
      <c r="P64" s="10">
        <f t="shared" si="9"/>
        <v>-4937220</v>
      </c>
      <c r="Q64" s="6">
        <v>4</v>
      </c>
      <c r="R64" s="6">
        <v>4.2</v>
      </c>
      <c r="S64" s="14" t="s">
        <v>29</v>
      </c>
      <c r="T64" s="14">
        <v>2</v>
      </c>
      <c r="U64" s="14">
        <v>7.5</v>
      </c>
      <c r="V64" s="14">
        <v>3</v>
      </c>
      <c r="W64" s="14">
        <v>20</v>
      </c>
      <c r="X64" s="14">
        <v>15</v>
      </c>
      <c r="Y64" s="14">
        <v>3</v>
      </c>
      <c r="Z64" s="14">
        <v>7.5</v>
      </c>
      <c r="AA64" s="14">
        <v>3.75</v>
      </c>
      <c r="AB64" s="14">
        <f t="shared" si="25"/>
        <v>246</v>
      </c>
      <c r="AC64" s="14">
        <f t="shared" si="26"/>
        <v>198</v>
      </c>
      <c r="AD64" s="14">
        <f t="shared" si="27"/>
        <v>67</v>
      </c>
    </row>
    <row r="65" spans="1:32" x14ac:dyDescent="0.25">
      <c r="A65" s="3">
        <v>202</v>
      </c>
      <c r="B65" s="6">
        <f>14.7+4.65</f>
        <v>19.350000000000001</v>
      </c>
      <c r="C65" s="6">
        <f>4.9+14.5</f>
        <v>19.399999999999999</v>
      </c>
      <c r="D65" s="14" t="s">
        <v>30</v>
      </c>
      <c r="E65" s="14">
        <v>30</v>
      </c>
      <c r="F65" s="14">
        <v>60</v>
      </c>
      <c r="G65" s="14">
        <v>30</v>
      </c>
      <c r="H65" s="14">
        <v>60</v>
      </c>
      <c r="I65" s="14">
        <v>60</v>
      </c>
      <c r="J65" s="14">
        <v>30</v>
      </c>
      <c r="K65" s="14">
        <v>60</v>
      </c>
      <c r="L65" s="14">
        <v>30</v>
      </c>
      <c r="M65" s="14">
        <f t="shared" si="22"/>
        <v>26</v>
      </c>
      <c r="N65" s="14">
        <f t="shared" si="23"/>
        <v>26</v>
      </c>
      <c r="O65" s="14">
        <f t="shared" si="24"/>
        <v>18</v>
      </c>
      <c r="P65" s="10">
        <f t="shared" si="9"/>
        <v>7271487.5</v>
      </c>
      <c r="Q65" s="6">
        <v>16.25</v>
      </c>
      <c r="R65" s="6">
        <v>16</v>
      </c>
      <c r="S65" s="14" t="s">
        <v>30</v>
      </c>
      <c r="T65" s="14">
        <v>30</v>
      </c>
      <c r="U65" s="14">
        <v>60</v>
      </c>
      <c r="V65" s="14">
        <v>30</v>
      </c>
      <c r="W65" s="14"/>
      <c r="X65" s="14"/>
      <c r="Y65" s="14">
        <v>30</v>
      </c>
      <c r="Z65" s="14">
        <v>60</v>
      </c>
      <c r="AA65" s="14">
        <v>30</v>
      </c>
      <c r="AB65" s="14">
        <f t="shared" ref="AB65:AB76" si="28">IF(COUNT(T65:W65)=0,0,ROUND($C$4*(IF(ISBLANK(T65),0,60/T65))/2+$C$5*IF(ISBLANK(T65),0,60/T65)+$C$6*(IF(ISBLANK(T65),0,60/T65)+IF(ISBLANK(U65),0,60/U65))/2+$C$7*IF(ISBLANK(U65),0,60/U65)+$C$8*(IF(ISBLANK(U65),0,60/U65)+IF(ISBLANK(V65),0,60/V65))/2+$C$9*IF(ISBLANK(V65),0,60/V65)+$C$10*(IF(ISBLANK(V65),0,60/V65)+IF(ISBLANK(W65),0,60/W65))/2+$C$11*IF(ISBLANK(W65),0,60/W65),0))</f>
        <v>22</v>
      </c>
      <c r="AC65" s="14">
        <f t="shared" ref="AC65:AC76" si="29">IF(AND(ISBLANK(W65),COUNT(Y65:AA65)=0),0,ROUND($C$4*(IF(ISBLANK(Y65),0,60/Y65))/2+$C$5*IF(ISBLANK(Y65),0,60/Y65)+$C$6*(IF(ISBLANK(Y65),0,60/Y65)+IF(ISBLANK(Z65),0,60/Z65))/2+$C$7*IF(ISBLANK(Z65),0,60/Z65)+$C$8*(IF(ISBLANK(Z65),0,60/Z65)+IF(ISBLANK(AA65),0,60/AA65))/2+$C$9*IF(ISBLANK(AA65),0,60/AA65)+$C$10*(IF(ISBLANK(AA65),0,60/AA65)+IF(ISBLANK(W65),0,60/W65))/2+$C$11*IF(ISBLANK(W65),0,60/W65),0))</f>
        <v>22</v>
      </c>
      <c r="AD65" s="14">
        <f t="shared" ref="AD65:AD76" si="30">IF(COUNT(W65:X65)=0,0,ROUND($C$13*(60/IF(ISBLANK(X65),1440,X65))/2+$C$14*60/IF(ISBLANK(X65),1440,X65)+$C$15*(60/IF(ISBLANK(X65),1440,X65)+60/IF(ISBLANK(W65),1440,W65))/2+$C$16*60/IF(ISBLANK(W65),1440,W65),0))</f>
        <v>0</v>
      </c>
    </row>
    <row r="66" spans="1:32" x14ac:dyDescent="0.25">
      <c r="A66" s="3">
        <v>202</v>
      </c>
      <c r="B66" s="6">
        <v>11.75</v>
      </c>
      <c r="C66" s="6">
        <v>11.55</v>
      </c>
      <c r="D66" s="14" t="s">
        <v>30</v>
      </c>
      <c r="E66" s="14">
        <v>30</v>
      </c>
      <c r="F66" s="14">
        <v>60</v>
      </c>
      <c r="G66" s="14">
        <v>30</v>
      </c>
      <c r="H66" s="14"/>
      <c r="I66" s="14">
        <v>60</v>
      </c>
      <c r="J66" s="14">
        <v>30</v>
      </c>
      <c r="K66" s="14">
        <v>60</v>
      </c>
      <c r="L66" s="14">
        <v>30</v>
      </c>
      <c r="M66" s="14">
        <f t="shared" ref="M66:M76" si="31">IF(COUNT(E66:H66)=0,0,ROUND($C$4*(IF(ISBLANK(E66),0,60/E66))/2+$C$5*IF(ISBLANK(E66),0,60/E66)+$C$6*(IF(ISBLANK(E66),0,60/E66)+IF(ISBLANK(F66),0,60/F66))/2+$C$7*IF(ISBLANK(F66),0,60/F66)+$C$8*(IF(ISBLANK(F66),0,60/F66)+IF(ISBLANK(G66),0,60/G66))/2+$C$9*IF(ISBLANK(G66),0,60/G66)+$C$10*(IF(ISBLANK(G66),0,60/G66)+IF(ISBLANK(H66),0,60/H66))/2+$C$11*IF(ISBLANK(H66),0,60/H66),0))</f>
        <v>22</v>
      </c>
      <c r="N66" s="14">
        <f t="shared" ref="N66:N76" si="32">IF(AND(ISBLANK(H66),COUNT(J66:L66)=0),0,ROUND($C$4*(IF(ISBLANK(J66),0,60/J66))/2+$C$5*IF(ISBLANK(J66),0,60/J66)+$C$6*(IF(ISBLANK(J66),0,60/J66)+IF(ISBLANK(K66),0,60/K66))/2+$C$7*IF(ISBLANK(K66),0,60/K66)+$C$8*(IF(ISBLANK(K66),0,60/K66)+IF(ISBLANK(L66),0,60/L66))/2+$C$9*IF(ISBLANK(L66),0,60/L66)+$C$10*(IF(ISBLANK(L66),0,60/L66)+IF(ISBLANK(H66),0,60/H66))/2+$C$11*IF(ISBLANK(H66),0,60/H66),0))</f>
        <v>22</v>
      </c>
      <c r="O66" s="14">
        <f t="shared" ref="O66:O76" si="33">IF(COUNT(H66:I66)=0,0,ROUND($C$13*(60/IF(ISBLANK(I66),1440,I66))/2+$C$14*60/IF(ISBLANK(I66),1440,I66)+$C$15*(60/IF(ISBLANK(I66),1440,I66)+60/IF(ISBLANK(H66),1440,H66))/2+$C$16*60/IF(ISBLANK(H66),1440,H66),0))</f>
        <v>14</v>
      </c>
      <c r="P66" s="10">
        <f t="shared" si="9"/>
        <v>-5234578.0000000009</v>
      </c>
      <c r="Q66" s="6">
        <v>11.75</v>
      </c>
      <c r="R66" s="6">
        <v>11.55</v>
      </c>
      <c r="S66" s="14" t="s">
        <v>30</v>
      </c>
      <c r="T66" s="14">
        <v>30</v>
      </c>
      <c r="U66" s="14">
        <v>60</v>
      </c>
      <c r="V66" s="14">
        <v>30</v>
      </c>
      <c r="W66" s="14">
        <v>30</v>
      </c>
      <c r="X66" s="14">
        <v>30</v>
      </c>
      <c r="Y66" s="14">
        <v>30</v>
      </c>
      <c r="Z66" s="14">
        <v>60</v>
      </c>
      <c r="AA66" s="14">
        <v>30</v>
      </c>
      <c r="AB66" s="14">
        <f t="shared" si="28"/>
        <v>31</v>
      </c>
      <c r="AC66" s="14">
        <f t="shared" si="29"/>
        <v>31</v>
      </c>
      <c r="AD66" s="14">
        <f t="shared" si="30"/>
        <v>36</v>
      </c>
    </row>
    <row r="67" spans="1:32" x14ac:dyDescent="0.25">
      <c r="A67" s="3">
        <v>204</v>
      </c>
      <c r="B67" s="6">
        <v>12.09</v>
      </c>
      <c r="C67" s="6">
        <v>11.38</v>
      </c>
      <c r="D67" s="14" t="s">
        <v>40</v>
      </c>
      <c r="E67" s="14">
        <v>30</v>
      </c>
      <c r="F67" s="14">
        <v>30</v>
      </c>
      <c r="G67" s="14">
        <v>30</v>
      </c>
      <c r="H67" s="14"/>
      <c r="I67" s="14">
        <v>60</v>
      </c>
      <c r="J67" s="14">
        <v>30</v>
      </c>
      <c r="K67" s="14">
        <v>30</v>
      </c>
      <c r="L67" s="14">
        <v>30</v>
      </c>
      <c r="M67" s="14">
        <f t="shared" si="31"/>
        <v>28</v>
      </c>
      <c r="N67" s="14">
        <f t="shared" si="32"/>
        <v>28</v>
      </c>
      <c r="O67" s="14">
        <f t="shared" si="33"/>
        <v>14</v>
      </c>
      <c r="P67" s="10">
        <f t="shared" si="9"/>
        <v>-2966145</v>
      </c>
      <c r="Q67" s="6">
        <v>19.170000000000002</v>
      </c>
      <c r="R67" s="6">
        <v>18.079999999999998</v>
      </c>
      <c r="S67" s="14" t="s">
        <v>40</v>
      </c>
      <c r="T67" s="14">
        <v>30</v>
      </c>
      <c r="U67" s="14">
        <v>30</v>
      </c>
      <c r="V67" s="14">
        <v>30</v>
      </c>
      <c r="W67" s="14"/>
      <c r="X67" s="14">
        <v>60</v>
      </c>
      <c r="Y67" s="14">
        <v>30</v>
      </c>
      <c r="Z67" s="14">
        <v>30</v>
      </c>
      <c r="AA67" s="14">
        <v>30</v>
      </c>
      <c r="AB67" s="14">
        <f t="shared" si="28"/>
        <v>28</v>
      </c>
      <c r="AC67" s="14">
        <f t="shared" si="29"/>
        <v>28</v>
      </c>
      <c r="AD67" s="14">
        <f t="shared" si="30"/>
        <v>14</v>
      </c>
    </row>
    <row r="68" spans="1:32" x14ac:dyDescent="0.25">
      <c r="A68" s="3">
        <v>209</v>
      </c>
      <c r="B68" s="6">
        <f>26.03+2.7+1.35</f>
        <v>30.080000000000002</v>
      </c>
      <c r="C68" s="6">
        <f>1.4+2.8+25.75</f>
        <v>29.95</v>
      </c>
      <c r="D68" s="14" t="s">
        <v>39</v>
      </c>
      <c r="E68" s="14">
        <v>30</v>
      </c>
      <c r="F68" s="14">
        <v>60</v>
      </c>
      <c r="G68" s="14">
        <v>30</v>
      </c>
      <c r="H68" s="14">
        <v>60</v>
      </c>
      <c r="I68" s="14">
        <v>60</v>
      </c>
      <c r="J68" s="14">
        <v>30</v>
      </c>
      <c r="K68" s="14">
        <v>60</v>
      </c>
      <c r="L68" s="14">
        <v>30</v>
      </c>
      <c r="M68" s="14">
        <f t="shared" ref="M68" si="34">IF(COUNT(E68:H68)=0,0,ROUND($C$4*(IF(ISBLANK(E68),0,60/E68))/2+$C$5*IF(ISBLANK(E68),0,60/E68)+$C$6*(IF(ISBLANK(E68),0,60/E68)+IF(ISBLANK(F68),0,60/F68))/2+$C$7*IF(ISBLANK(F68),0,60/F68)+$C$8*(IF(ISBLANK(F68),0,60/F68)+IF(ISBLANK(G68),0,60/G68))/2+$C$9*IF(ISBLANK(G68),0,60/G68)+$C$10*(IF(ISBLANK(G68),0,60/G68)+IF(ISBLANK(H68),0,60/H68))/2+$C$11*IF(ISBLANK(H68),0,60/H68),0))</f>
        <v>26</v>
      </c>
      <c r="N68" s="14">
        <f t="shared" ref="N68" si="35">IF(AND(ISBLANK(H68),COUNT(J68:L68)=0),0,ROUND($C$4*(IF(ISBLANK(J68),0,60/J68))/2+$C$5*IF(ISBLANK(J68),0,60/J68)+$C$6*(IF(ISBLANK(J68),0,60/J68)+IF(ISBLANK(K68),0,60/K68))/2+$C$7*IF(ISBLANK(K68),0,60/K68)+$C$8*(IF(ISBLANK(K68),0,60/K68)+IF(ISBLANK(L68),0,60/L68))/2+$C$9*IF(ISBLANK(L68),0,60/L68)+$C$10*(IF(ISBLANK(L68),0,60/L68)+IF(ISBLANK(H68),0,60/H68))/2+$C$11*IF(ISBLANK(H68),0,60/H68),0))</f>
        <v>26</v>
      </c>
      <c r="O68" s="14">
        <f t="shared" ref="O68" si="36">IF(COUNT(H68:I68)=0,0,ROUND($C$13*(60/IF(ISBLANK(I68),1440,I68))/2+$C$14*60/IF(ISBLANK(I68),1440,I68)+$C$15*(60/IF(ISBLANK(I68),1440,I68)+60/IF(ISBLANK(H68),1440,H68))/2+$C$16*60/IF(ISBLANK(H68),1440,H68),0))</f>
        <v>18</v>
      </c>
      <c r="P68" s="10">
        <f t="shared" si="9"/>
        <v>-951269.99999999814</v>
      </c>
      <c r="Q68" s="6">
        <v>32.229999999999997</v>
      </c>
      <c r="R68" s="6">
        <v>31.5</v>
      </c>
      <c r="S68" s="14" t="s">
        <v>39</v>
      </c>
      <c r="T68" s="14">
        <v>30</v>
      </c>
      <c r="U68" s="14">
        <v>60</v>
      </c>
      <c r="V68" s="14">
        <v>30</v>
      </c>
      <c r="W68" s="14">
        <v>60</v>
      </c>
      <c r="X68" s="14">
        <v>60</v>
      </c>
      <c r="Y68" s="14">
        <v>30</v>
      </c>
      <c r="Z68" s="14">
        <v>60</v>
      </c>
      <c r="AA68" s="14">
        <v>30</v>
      </c>
      <c r="AB68" s="14">
        <f t="shared" ref="AB68" si="37">IF(COUNT(T68:W68)=0,0,ROUND($C$4*(IF(ISBLANK(T68),0,60/T68))/2+$C$5*IF(ISBLANK(T68),0,60/T68)+$C$6*(IF(ISBLANK(T68),0,60/T68)+IF(ISBLANK(U68),0,60/U68))/2+$C$7*IF(ISBLANK(U68),0,60/U68)+$C$8*(IF(ISBLANK(U68),0,60/U68)+IF(ISBLANK(V68),0,60/V68))/2+$C$9*IF(ISBLANK(V68),0,60/V68)+$C$10*(IF(ISBLANK(V68),0,60/V68)+IF(ISBLANK(W68),0,60/W68))/2+$C$11*IF(ISBLANK(W68),0,60/W68),0))</f>
        <v>26</v>
      </c>
      <c r="AC68" s="14">
        <f t="shared" ref="AC68" si="38">IF(AND(ISBLANK(W68),COUNT(Y68:AA68)=0),0,ROUND($C$4*(IF(ISBLANK(Y68),0,60/Y68))/2+$C$5*IF(ISBLANK(Y68),0,60/Y68)+$C$6*(IF(ISBLANK(Y68),0,60/Y68)+IF(ISBLANK(Z68),0,60/Z68))/2+$C$7*IF(ISBLANK(Z68),0,60/Z68)+$C$8*(IF(ISBLANK(Z68),0,60/Z68)+IF(ISBLANK(AA68),0,60/AA68))/2+$C$9*IF(ISBLANK(AA68),0,60/AA68)+$C$10*(IF(ISBLANK(AA68),0,60/AA68)+IF(ISBLANK(W68),0,60/W68))/2+$C$11*IF(ISBLANK(W68),0,60/W68),0))</f>
        <v>26</v>
      </c>
      <c r="AD68" s="14">
        <f t="shared" ref="AD68" si="39">IF(COUNT(W68:X68)=0,0,ROUND($C$13*(60/IF(ISBLANK(X68),1440,X68))/2+$C$14*60/IF(ISBLANK(X68),1440,X68)+$C$15*(60/IF(ISBLANK(X68),1440,X68)+60/IF(ISBLANK(W68),1440,W68))/2+$C$16*60/IF(ISBLANK(W68),1440,W68),0))</f>
        <v>18</v>
      </c>
    </row>
    <row r="69" spans="1:32" x14ac:dyDescent="0.25">
      <c r="A69" s="3">
        <v>213</v>
      </c>
      <c r="B69" s="6">
        <v>10.55</v>
      </c>
      <c r="C69" s="6">
        <v>10.75</v>
      </c>
      <c r="D69" s="14" t="s">
        <v>29</v>
      </c>
      <c r="E69" s="14">
        <v>4</v>
      </c>
      <c r="F69" s="14">
        <v>10</v>
      </c>
      <c r="G69" s="14">
        <v>5</v>
      </c>
      <c r="H69" s="14">
        <v>20</v>
      </c>
      <c r="I69" s="14">
        <v>10</v>
      </c>
      <c r="J69" s="14">
        <v>5</v>
      </c>
      <c r="K69" s="14">
        <v>10</v>
      </c>
      <c r="L69" s="14">
        <v>6</v>
      </c>
      <c r="M69" s="14">
        <f t="shared" si="31"/>
        <v>152</v>
      </c>
      <c r="N69" s="14">
        <f t="shared" si="32"/>
        <v>134</v>
      </c>
      <c r="O69" s="14">
        <f t="shared" si="33"/>
        <v>95</v>
      </c>
      <c r="P69" s="10">
        <f t="shared" si="9"/>
        <v>35106234</v>
      </c>
      <c r="Q69" s="6">
        <v>10.55</v>
      </c>
      <c r="R69" s="6">
        <v>10.75</v>
      </c>
      <c r="S69" s="14" t="s">
        <v>30</v>
      </c>
      <c r="T69" s="14">
        <v>10</v>
      </c>
      <c r="U69" s="14">
        <v>20</v>
      </c>
      <c r="V69" s="14">
        <v>12</v>
      </c>
      <c r="W69" s="14">
        <v>40</v>
      </c>
      <c r="X69" s="14">
        <v>30</v>
      </c>
      <c r="Y69" s="14">
        <v>12</v>
      </c>
      <c r="Z69" s="14">
        <v>24</v>
      </c>
      <c r="AA69" s="14">
        <v>15</v>
      </c>
      <c r="AB69" s="14">
        <f t="shared" si="28"/>
        <v>67</v>
      </c>
      <c r="AC69" s="14">
        <f t="shared" si="29"/>
        <v>56</v>
      </c>
      <c r="AD69" s="14">
        <f t="shared" si="30"/>
        <v>34</v>
      </c>
    </row>
    <row r="70" spans="1:32" x14ac:dyDescent="0.25">
      <c r="A70" s="3">
        <v>213</v>
      </c>
      <c r="B70" s="6"/>
      <c r="C70" s="6"/>
      <c r="D70" s="14" t="s">
        <v>30</v>
      </c>
      <c r="E70" s="14"/>
      <c r="F70" s="14"/>
      <c r="G70" s="14"/>
      <c r="H70" s="14"/>
      <c r="I70" s="14"/>
      <c r="J70" s="14"/>
      <c r="K70" s="14"/>
      <c r="L70" s="14"/>
      <c r="M70" s="14">
        <f t="shared" si="31"/>
        <v>0</v>
      </c>
      <c r="N70" s="14">
        <f t="shared" si="32"/>
        <v>0</v>
      </c>
      <c r="O70" s="14">
        <f t="shared" si="33"/>
        <v>0</v>
      </c>
      <c r="P70" s="10">
        <f t="shared" si="9"/>
        <v>-33789827.5</v>
      </c>
      <c r="Q70" s="6">
        <v>18.05</v>
      </c>
      <c r="R70" s="6">
        <v>17.7</v>
      </c>
      <c r="S70" s="14" t="s">
        <v>30</v>
      </c>
      <c r="T70" s="14">
        <v>10</v>
      </c>
      <c r="U70" s="14">
        <v>20</v>
      </c>
      <c r="V70" s="14">
        <v>12</v>
      </c>
      <c r="W70" s="14">
        <v>40</v>
      </c>
      <c r="X70" s="14">
        <v>30</v>
      </c>
      <c r="Y70" s="14">
        <v>12</v>
      </c>
      <c r="Z70" s="14">
        <v>24</v>
      </c>
      <c r="AA70" s="14">
        <v>15</v>
      </c>
      <c r="AB70" s="14">
        <f t="shared" si="28"/>
        <v>67</v>
      </c>
      <c r="AC70" s="14">
        <f t="shared" si="29"/>
        <v>56</v>
      </c>
      <c r="AD70" s="14">
        <f t="shared" si="30"/>
        <v>34</v>
      </c>
    </row>
    <row r="71" spans="1:32" x14ac:dyDescent="0.25">
      <c r="A71" s="3">
        <v>232</v>
      </c>
      <c r="B71" s="6">
        <v>8.75</v>
      </c>
      <c r="C71" s="6">
        <v>7.9</v>
      </c>
      <c r="D71" s="14" t="s">
        <v>30</v>
      </c>
      <c r="E71" s="14">
        <v>10</v>
      </c>
      <c r="F71" s="14">
        <v>30</v>
      </c>
      <c r="G71" s="14">
        <v>12</v>
      </c>
      <c r="H71" s="14">
        <v>30</v>
      </c>
      <c r="I71" s="14">
        <v>30</v>
      </c>
      <c r="J71" s="14">
        <v>12</v>
      </c>
      <c r="K71" s="14">
        <v>30</v>
      </c>
      <c r="L71" s="14">
        <v>15</v>
      </c>
      <c r="M71" s="14">
        <f t="shared" si="31"/>
        <v>63</v>
      </c>
      <c r="N71" s="14">
        <f t="shared" si="32"/>
        <v>55</v>
      </c>
      <c r="O71" s="14">
        <f t="shared" si="33"/>
        <v>36</v>
      </c>
      <c r="P71" s="10">
        <f t="shared" si="9"/>
        <v>15251899.5</v>
      </c>
      <c r="Q71" s="6"/>
      <c r="R71" s="6"/>
      <c r="S71" s="14" t="s">
        <v>30</v>
      </c>
      <c r="T71" s="14"/>
      <c r="U71" s="14"/>
      <c r="V71" s="14"/>
      <c r="W71" s="14"/>
      <c r="X71" s="14"/>
      <c r="Y71" s="14"/>
      <c r="Z71" s="14"/>
      <c r="AA71" s="14"/>
      <c r="AB71" s="14">
        <f t="shared" si="28"/>
        <v>0</v>
      </c>
      <c r="AC71" s="14">
        <f t="shared" si="29"/>
        <v>0</v>
      </c>
      <c r="AD71" s="14">
        <f t="shared" si="30"/>
        <v>0</v>
      </c>
    </row>
    <row r="72" spans="1:32" x14ac:dyDescent="0.25">
      <c r="A72" s="3">
        <v>240</v>
      </c>
      <c r="B72" s="6">
        <f>1.4+10.6+0.45+4.75</f>
        <v>17.2</v>
      </c>
      <c r="C72" s="6">
        <f>4.5+0.4+10.6+1.75</f>
        <v>17.25</v>
      </c>
      <c r="D72" s="14" t="s">
        <v>39</v>
      </c>
      <c r="E72" s="14">
        <v>12</v>
      </c>
      <c r="F72" s="14">
        <v>30</v>
      </c>
      <c r="G72" s="14">
        <v>15</v>
      </c>
      <c r="H72" s="14">
        <v>30</v>
      </c>
      <c r="I72" s="14">
        <v>30</v>
      </c>
      <c r="J72" s="14">
        <v>15</v>
      </c>
      <c r="K72" s="14">
        <v>30</v>
      </c>
      <c r="L72" s="14">
        <v>20</v>
      </c>
      <c r="M72" s="14">
        <f t="shared" si="31"/>
        <v>55</v>
      </c>
      <c r="N72" s="14">
        <f t="shared" si="32"/>
        <v>48</v>
      </c>
      <c r="O72" s="14">
        <f t="shared" si="33"/>
        <v>36</v>
      </c>
      <c r="P72" s="10">
        <f t="shared" si="9"/>
        <v>-1173426</v>
      </c>
      <c r="Q72" s="6">
        <f>1.4+10.6+6.05</f>
        <v>18.05</v>
      </c>
      <c r="R72" s="6">
        <f>6.28+10.6+1.75</f>
        <v>18.63</v>
      </c>
      <c r="S72" s="14" t="s">
        <v>39</v>
      </c>
      <c r="T72" s="14">
        <v>12</v>
      </c>
      <c r="U72" s="14">
        <v>30</v>
      </c>
      <c r="V72" s="14">
        <v>15</v>
      </c>
      <c r="W72" s="14">
        <v>30</v>
      </c>
      <c r="X72" s="14">
        <v>30</v>
      </c>
      <c r="Y72" s="14">
        <v>15</v>
      </c>
      <c r="Z72" s="14">
        <v>30</v>
      </c>
      <c r="AA72" s="14">
        <v>20</v>
      </c>
      <c r="AB72" s="14">
        <f t="shared" si="28"/>
        <v>55</v>
      </c>
      <c r="AC72" s="14">
        <f t="shared" si="29"/>
        <v>48</v>
      </c>
      <c r="AD72" s="14">
        <f t="shared" si="30"/>
        <v>36</v>
      </c>
    </row>
    <row r="73" spans="1:32" x14ac:dyDescent="0.25">
      <c r="A73" s="3">
        <v>302</v>
      </c>
      <c r="B73" s="6">
        <f>6.83+2.3</f>
        <v>9.129999999999999</v>
      </c>
      <c r="C73" s="6">
        <f>2.27+6.63</f>
        <v>8.9</v>
      </c>
      <c r="D73" s="14" t="s">
        <v>39</v>
      </c>
      <c r="E73" s="14">
        <v>20</v>
      </c>
      <c r="F73" s="14">
        <v>60</v>
      </c>
      <c r="G73" s="14">
        <v>30</v>
      </c>
      <c r="H73" s="14">
        <v>60</v>
      </c>
      <c r="I73" s="14">
        <v>60</v>
      </c>
      <c r="J73" s="14">
        <v>20</v>
      </c>
      <c r="K73" s="14">
        <v>60</v>
      </c>
      <c r="L73" s="14">
        <v>30</v>
      </c>
      <c r="M73" s="14">
        <f t="shared" si="31"/>
        <v>29</v>
      </c>
      <c r="N73" s="14">
        <f t="shared" si="32"/>
        <v>29</v>
      </c>
      <c r="O73" s="14">
        <f t="shared" si="33"/>
        <v>18</v>
      </c>
      <c r="P73" s="10">
        <f t="shared" si="9"/>
        <v>-39107.999999999069</v>
      </c>
      <c r="Q73" s="6">
        <v>9.7899999999999991</v>
      </c>
      <c r="R73" s="6">
        <v>9.9700000000000006</v>
      </c>
      <c r="S73" s="14" t="s">
        <v>39</v>
      </c>
      <c r="T73" s="14">
        <v>30</v>
      </c>
      <c r="U73" s="14">
        <v>60</v>
      </c>
      <c r="V73" s="14">
        <v>30</v>
      </c>
      <c r="W73" s="14">
        <v>60</v>
      </c>
      <c r="X73" s="14">
        <v>60</v>
      </c>
      <c r="Y73" s="14">
        <v>30</v>
      </c>
      <c r="Z73" s="14">
        <v>60</v>
      </c>
      <c r="AA73" s="14">
        <v>30</v>
      </c>
      <c r="AB73" s="14">
        <f t="shared" si="28"/>
        <v>26</v>
      </c>
      <c r="AC73" s="14">
        <f t="shared" si="29"/>
        <v>26</v>
      </c>
      <c r="AD73" s="14">
        <f t="shared" si="30"/>
        <v>18</v>
      </c>
      <c r="AF73" t="s">
        <v>36</v>
      </c>
    </row>
    <row r="74" spans="1:32" x14ac:dyDescent="0.25">
      <c r="A74" s="3">
        <v>348</v>
      </c>
      <c r="B74" s="6"/>
      <c r="C74" s="6"/>
      <c r="D74" s="14" t="s">
        <v>39</v>
      </c>
      <c r="E74" s="14"/>
      <c r="F74" s="14"/>
      <c r="G74" s="14"/>
      <c r="H74" s="14"/>
      <c r="I74" s="14"/>
      <c r="J74" s="14"/>
      <c r="K74" s="14"/>
      <c r="L74" s="14"/>
      <c r="M74" s="14">
        <f t="shared" si="31"/>
        <v>0</v>
      </c>
      <c r="N74" s="14">
        <f t="shared" si="32"/>
        <v>0</v>
      </c>
      <c r="O74" s="14">
        <f t="shared" si="33"/>
        <v>0</v>
      </c>
      <c r="P74" s="10">
        <f t="shared" si="9"/>
        <v>-1008750</v>
      </c>
      <c r="Q74" s="6">
        <v>2.6</v>
      </c>
      <c r="R74" s="6">
        <v>2.78</v>
      </c>
      <c r="S74" s="14" t="s">
        <v>39</v>
      </c>
      <c r="T74" s="14">
        <v>20</v>
      </c>
      <c r="U74" s="14">
        <v>60</v>
      </c>
      <c r="V74" s="14">
        <v>30</v>
      </c>
      <c r="W74" s="14"/>
      <c r="X74" s="14"/>
      <c r="Y74" s="14">
        <v>20</v>
      </c>
      <c r="Z74" s="14">
        <v>60</v>
      </c>
      <c r="AA74" s="14">
        <v>30</v>
      </c>
      <c r="AB74" s="14">
        <f t="shared" si="28"/>
        <v>25</v>
      </c>
      <c r="AC74" s="14">
        <f t="shared" si="29"/>
        <v>25</v>
      </c>
      <c r="AD74" s="14">
        <f t="shared" si="30"/>
        <v>0</v>
      </c>
      <c r="AF74" t="s">
        <v>43</v>
      </c>
    </row>
    <row r="75" spans="1:32" x14ac:dyDescent="0.25">
      <c r="A75" s="3">
        <v>375</v>
      </c>
      <c r="B75" s="6"/>
      <c r="C75" s="6"/>
      <c r="D75" s="14" t="s">
        <v>38</v>
      </c>
      <c r="E75" s="14"/>
      <c r="F75" s="14"/>
      <c r="G75" s="14"/>
      <c r="H75" s="14"/>
      <c r="I75" s="14"/>
      <c r="J75" s="14"/>
      <c r="K75" s="14"/>
      <c r="L75" s="14"/>
      <c r="M75" s="14">
        <f t="shared" si="31"/>
        <v>0</v>
      </c>
      <c r="N75" s="14">
        <f t="shared" si="32"/>
        <v>0</v>
      </c>
      <c r="O75" s="14">
        <f t="shared" si="33"/>
        <v>0</v>
      </c>
      <c r="P75" s="10">
        <f t="shared" si="9"/>
        <v>-6054272.0000000009</v>
      </c>
      <c r="Q75" s="6">
        <v>4.66</v>
      </c>
      <c r="R75" s="6">
        <v>4.62</v>
      </c>
      <c r="S75" s="14" t="s">
        <v>38</v>
      </c>
      <c r="T75" s="14">
        <v>10</v>
      </c>
      <c r="U75" s="14">
        <v>30</v>
      </c>
      <c r="V75" s="14">
        <v>15</v>
      </c>
      <c r="W75" s="14">
        <v>30</v>
      </c>
      <c r="X75" s="14">
        <v>30</v>
      </c>
      <c r="Y75" s="14">
        <v>10</v>
      </c>
      <c r="Z75" s="14">
        <v>30</v>
      </c>
      <c r="AA75" s="14">
        <v>15</v>
      </c>
      <c r="AB75" s="14">
        <f t="shared" si="28"/>
        <v>58</v>
      </c>
      <c r="AC75" s="14">
        <f t="shared" si="29"/>
        <v>58</v>
      </c>
      <c r="AD75" s="14">
        <f t="shared" si="30"/>
        <v>36</v>
      </c>
      <c r="AF75" t="s">
        <v>44</v>
      </c>
    </row>
    <row r="76" spans="1:32" x14ac:dyDescent="0.25">
      <c r="A76" s="3">
        <v>396</v>
      </c>
      <c r="B76" s="6">
        <f>1.42+0.9+2.68</f>
        <v>5</v>
      </c>
      <c r="C76" s="6">
        <f>2.25+0.6+1.57</f>
        <v>4.42</v>
      </c>
      <c r="D76" s="14" t="s">
        <v>40</v>
      </c>
      <c r="E76" s="14">
        <v>60</v>
      </c>
      <c r="F76" s="14">
        <v>60</v>
      </c>
      <c r="G76" s="14">
        <v>60</v>
      </c>
      <c r="H76" s="14"/>
      <c r="I76" s="14"/>
      <c r="J76" s="14">
        <v>60</v>
      </c>
      <c r="K76" s="14">
        <v>60</v>
      </c>
      <c r="L76" s="14">
        <v>60</v>
      </c>
      <c r="M76" s="14">
        <f t="shared" si="31"/>
        <v>14</v>
      </c>
      <c r="N76" s="14">
        <f t="shared" si="32"/>
        <v>14</v>
      </c>
      <c r="O76" s="14">
        <f t="shared" si="33"/>
        <v>0</v>
      </c>
      <c r="P76" s="10">
        <f t="shared" si="9"/>
        <v>-194250</v>
      </c>
      <c r="Q76" s="6">
        <v>6.01</v>
      </c>
      <c r="R76" s="6">
        <v>5.63</v>
      </c>
      <c r="S76" s="14" t="s">
        <v>40</v>
      </c>
      <c r="T76" s="14">
        <v>60</v>
      </c>
      <c r="U76" s="14">
        <v>60</v>
      </c>
      <c r="V76" s="14">
        <v>60</v>
      </c>
      <c r="W76" s="14"/>
      <c r="X76" s="14"/>
      <c r="Y76" s="14">
        <v>60</v>
      </c>
      <c r="Z76" s="14">
        <v>60</v>
      </c>
      <c r="AA76" s="14">
        <v>60</v>
      </c>
      <c r="AB76" s="14">
        <f t="shared" si="28"/>
        <v>14</v>
      </c>
      <c r="AC76" s="14">
        <f t="shared" si="29"/>
        <v>14</v>
      </c>
      <c r="AD76" s="14">
        <f t="shared" si="30"/>
        <v>0</v>
      </c>
    </row>
    <row r="77" spans="1:32" x14ac:dyDescent="0.25">
      <c r="P77" s="11">
        <f>SUM(P39:P76)</f>
        <v>-107458722.29999998</v>
      </c>
    </row>
  </sheetData>
  <mergeCells count="6">
    <mergeCell ref="AB37:AD37"/>
    <mergeCell ref="D2:E2"/>
    <mergeCell ref="F2:G2"/>
    <mergeCell ref="B37:L37"/>
    <mergeCell ref="M37:O37"/>
    <mergeCell ref="Q37:AA37"/>
  </mergeCells>
  <pageMargins left="0.7" right="0.7" top="0.75" bottom="0.75" header="0.3" footer="0.3"/>
  <pageSetup paperSize="9" orientation="portrait" r:id="rId1"/>
  <ignoredErrors>
    <ignoredError sqref="AB55:AD56 M43:O44 AB60:AD60 AB59:AD59 M55:O63 M54:O54 AB58:AD58 AB61:AD61 AB65:AD65 M65:O65 AB66:AD66 M66:O66 M76:O76 AB76:AD76 M75:O75 AB75:AD75 AB74:AD74 M73:O73 AB73:AD73 M72:O72 AB72:AD72 M71:O71 AB70:AD70 AB69:AD69 M69:O69 M68:O68 AB68:AD68 M67:O67 AB67:AD67 M64:O64 AB64:AD64 AB62:AD62 AB57:AD57 AB52:AD54 M52:O53 M51:O51 AB51:AD51 M50:O50 AB50:AD50 AB49:AD49 M48:O48 AB48:AD48 M46:O47 AB46:AD47 M45:O45 AB45:AD45 M42:O42 AB42:AD44 M39:O40 AB39:AD40 AB41:AD41" formulaRange="1"/>
    <ignoredError sqref="E5:E11 E14:E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Švasta - Nilobit CZ s.r.o.</dc:creator>
  <cp:lastModifiedBy>Jakub Švasta - Nilobit CZ s.r.o.</cp:lastModifiedBy>
  <dcterms:created xsi:type="dcterms:W3CDTF">2020-09-25T16:51:13Z</dcterms:created>
  <dcterms:modified xsi:type="dcterms:W3CDTF">2020-10-17T14:52:22Z</dcterms:modified>
</cp:coreProperties>
</file>